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CIP\World Bank\IUFR at Client Connection\6. June-2024\"/>
    </mc:Choice>
  </mc:AlternateContent>
  <xr:revisionPtr revIDLastSave="0" documentId="13_ncr:1_{B9FC1495-ABA3-4443-ABA3-94C42D8492DC}" xr6:coauthVersionLast="47" xr6:coauthVersionMax="47" xr10:uidLastSave="{00000000-0000-0000-0000-000000000000}"/>
  <bookViews>
    <workbookView xWindow="-120" yWindow="-120" windowWidth="20730" windowHeight="11160" tabRatio="878" activeTab="2" xr2:uid="{00000000-000D-0000-FFFF-FFFF00000000}"/>
  </bookViews>
  <sheets>
    <sheet name="Sources &amp; Application" sheetId="10" r:id="rId1"/>
    <sheet name="Variance" sheetId="11" r:id="rId2"/>
    <sheet name="DA Activity - IDA" sheetId="18" r:id="rId3"/>
    <sheet name="BR A-128 Grant" sheetId="21" r:id="rId4"/>
    <sheet name="BR A-129 Credit" sheetId="23" r:id="rId5"/>
    <sheet name="Cash Forecast" sheetId="20" r:id="rId6"/>
  </sheets>
  <definedNames>
    <definedName name="_xlnm._FilterDatabase" localSheetId="0" hidden="1">'Sources &amp; Application'!#REF!</definedName>
    <definedName name="_xlnm.Print_Area" localSheetId="2">'DA Activity - IDA'!$B$1:$R$52</definedName>
    <definedName name="_xlnm.Print_Area" localSheetId="0">'Sources &amp; Application'!$A$1:$H$141</definedName>
    <definedName name="_xlnm.Print_Area" localSheetId="1">Variance!$B$1:$O$62</definedName>
    <definedName name="_xlnm.Print_Titles" localSheetId="0">'Sources &amp; Application'!$2:$9</definedName>
  </definedNames>
  <calcPr calcId="181029"/>
</workbook>
</file>

<file path=xl/calcChain.xml><?xml version="1.0" encoding="utf-8"?>
<calcChain xmlns="http://schemas.openxmlformats.org/spreadsheetml/2006/main">
  <c r="M51" i="11" l="1"/>
  <c r="M50" i="11"/>
  <c r="M49" i="11"/>
  <c r="M48" i="11"/>
  <c r="M47" i="11"/>
  <c r="M46" i="11"/>
  <c r="M43" i="11"/>
  <c r="M42" i="11"/>
  <c r="M41" i="11"/>
  <c r="M40" i="11"/>
  <c r="M39" i="11"/>
  <c r="M38" i="11"/>
  <c r="M33" i="11"/>
  <c r="M32" i="11"/>
  <c r="M31" i="11"/>
  <c r="M30" i="11"/>
  <c r="M29" i="11"/>
  <c r="M28" i="11"/>
  <c r="M25" i="11"/>
  <c r="M24" i="11"/>
  <c r="M23" i="11"/>
  <c r="M22" i="11"/>
  <c r="M21" i="11"/>
  <c r="M20" i="11"/>
  <c r="M17" i="11"/>
  <c r="M16" i="11"/>
  <c r="M15" i="11"/>
  <c r="M14" i="11"/>
  <c r="M13" i="11"/>
  <c r="M12" i="11"/>
  <c r="M44" i="11" l="1"/>
  <c r="L15" i="18" l="1"/>
  <c r="L17" i="18"/>
  <c r="D62" i="10" l="1"/>
  <c r="F67" i="10" l="1"/>
  <c r="C34" i="20" l="1"/>
  <c r="D34" i="20"/>
  <c r="D32" i="20"/>
  <c r="D64" i="20"/>
  <c r="C64" i="20"/>
  <c r="D57" i="20"/>
  <c r="D56" i="20"/>
  <c r="D55" i="20"/>
  <c r="D54" i="20"/>
  <c r="D53" i="20"/>
  <c r="D52" i="20"/>
  <c r="C57" i="20"/>
  <c r="C56" i="20"/>
  <c r="C55" i="20"/>
  <c r="C54" i="20"/>
  <c r="C53" i="20"/>
  <c r="C52" i="20"/>
  <c r="D23" i="20"/>
  <c r="D27" i="20" s="1"/>
  <c r="C23" i="20"/>
  <c r="D16" i="20"/>
  <c r="C16" i="20"/>
  <c r="D15" i="20"/>
  <c r="C15" i="20"/>
  <c r="C14" i="20"/>
  <c r="D14" i="20"/>
  <c r="D13" i="20"/>
  <c r="C13" i="20"/>
  <c r="D12" i="20"/>
  <c r="C12" i="20"/>
  <c r="D11" i="20"/>
  <c r="C11" i="20"/>
  <c r="D37" i="20" l="1"/>
  <c r="G42" i="23" l="1"/>
  <c r="G43" i="23" s="1"/>
  <c r="D128" i="10" s="1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G42" i="21"/>
  <c r="G43" i="21" s="1"/>
  <c r="D135" i="10" s="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H48" i="11"/>
  <c r="H22" i="11"/>
  <c r="C48" i="11"/>
  <c r="C22" i="11"/>
  <c r="C40" i="11"/>
  <c r="C14" i="11"/>
  <c r="C43" i="11"/>
  <c r="C42" i="11"/>
  <c r="C41" i="11"/>
  <c r="C39" i="11"/>
  <c r="C38" i="11"/>
  <c r="C31" i="11"/>
  <c r="C29" i="11"/>
  <c r="C28" i="11"/>
  <c r="C17" i="11"/>
  <c r="C15" i="11"/>
  <c r="C16" i="11"/>
  <c r="C13" i="11"/>
  <c r="C12" i="11"/>
  <c r="I42" i="21" l="1"/>
  <c r="I43" i="21" s="1"/>
  <c r="I42" i="23"/>
  <c r="I43" i="23" s="1"/>
  <c r="H31" i="11"/>
  <c r="H29" i="11"/>
  <c r="H28" i="11"/>
  <c r="H43" i="11"/>
  <c r="H42" i="11"/>
  <c r="H41" i="11"/>
  <c r="H40" i="11"/>
  <c r="H39" i="11"/>
  <c r="H38" i="11"/>
  <c r="H17" i="11"/>
  <c r="H16" i="11"/>
  <c r="H15" i="11"/>
  <c r="H14" i="11"/>
  <c r="H13" i="11"/>
  <c r="H12" i="11"/>
  <c r="L12" i="11" s="1"/>
  <c r="I45" i="23" l="1"/>
  <c r="M20" i="18"/>
  <c r="M29" i="18" s="1"/>
  <c r="H128" i="10"/>
  <c r="Q20" i="18"/>
  <c r="H135" i="10"/>
  <c r="F37" i="10"/>
  <c r="F66" i="10"/>
  <c r="F65" i="10"/>
  <c r="B64" i="10"/>
  <c r="B67" i="10"/>
  <c r="B65" i="10"/>
  <c r="F63" i="10"/>
  <c r="F71" i="10" l="1"/>
  <c r="F43" i="10"/>
  <c r="F38" i="10"/>
  <c r="F36" i="10"/>
  <c r="F39" i="10"/>
  <c r="F35" i="10"/>
  <c r="F20" i="10" l="1"/>
  <c r="C64" i="10"/>
  <c r="C65" i="10"/>
  <c r="C67" i="10"/>
  <c r="G64" i="10"/>
  <c r="G85" i="10" l="1"/>
  <c r="G84" i="10"/>
  <c r="G83" i="10"/>
  <c r="G82" i="10"/>
  <c r="G81" i="10"/>
  <c r="G80" i="10"/>
  <c r="G76" i="10"/>
  <c r="G75" i="10"/>
  <c r="G74" i="10"/>
  <c r="G73" i="10"/>
  <c r="G72" i="10"/>
  <c r="G71" i="10"/>
  <c r="G67" i="10"/>
  <c r="G66" i="10"/>
  <c r="G65" i="10"/>
  <c r="G63" i="10"/>
  <c r="G62" i="10"/>
  <c r="C66" i="10"/>
  <c r="G48" i="10"/>
  <c r="G47" i="10"/>
  <c r="G46" i="10"/>
  <c r="G45" i="10"/>
  <c r="G44" i="10"/>
  <c r="G43" i="10"/>
  <c r="C46" i="10"/>
  <c r="G39" i="10"/>
  <c r="G38" i="10"/>
  <c r="G37" i="10"/>
  <c r="G36" i="10"/>
  <c r="G35" i="10"/>
  <c r="G34" i="10"/>
  <c r="C39" i="10"/>
  <c r="C38" i="10"/>
  <c r="C37" i="10"/>
  <c r="G20" i="10"/>
  <c r="G19" i="10"/>
  <c r="C20" i="10"/>
  <c r="C19" i="10"/>
  <c r="H63" i="10" l="1"/>
  <c r="G57" i="10"/>
  <c r="G56" i="10"/>
  <c r="H56" i="10" s="1"/>
  <c r="G55" i="10"/>
  <c r="H55" i="10" s="1"/>
  <c r="G54" i="10"/>
  <c r="H54" i="10" s="1"/>
  <c r="G53" i="10"/>
  <c r="H53" i="10" s="1"/>
  <c r="G52" i="10"/>
  <c r="H52" i="10" s="1"/>
  <c r="H48" i="10"/>
  <c r="H47" i="10"/>
  <c r="H45" i="10"/>
  <c r="H44" i="10"/>
  <c r="H38" i="10"/>
  <c r="H36" i="10"/>
  <c r="H35" i="10"/>
  <c r="H34" i="10"/>
  <c r="H57" i="10"/>
  <c r="H46" i="10"/>
  <c r="H43" i="10"/>
  <c r="H65" i="10" l="1"/>
  <c r="H67" i="10"/>
  <c r="H64" i="10"/>
  <c r="H66" i="10"/>
  <c r="H37" i="10" l="1"/>
  <c r="H39" i="10"/>
  <c r="L51" i="11" l="1"/>
  <c r="L50" i="11"/>
  <c r="L49" i="11"/>
  <c r="L47" i="11"/>
  <c r="L46" i="11"/>
  <c r="L33" i="11"/>
  <c r="L32" i="11"/>
  <c r="L30" i="11"/>
  <c r="L25" i="11"/>
  <c r="L24" i="11"/>
  <c r="L23" i="11"/>
  <c r="L21" i="11"/>
  <c r="L20" i="11"/>
  <c r="L59" i="11"/>
  <c r="L58" i="11"/>
  <c r="L56" i="11"/>
  <c r="S16" i="11" l="1"/>
  <c r="H57" i="11" l="1"/>
  <c r="L57" i="11" s="1"/>
  <c r="H55" i="11"/>
  <c r="L55" i="11" s="1"/>
  <c r="H54" i="11"/>
  <c r="L54" i="11" s="1"/>
  <c r="C57" i="11"/>
  <c r="C55" i="11"/>
  <c r="C54" i="11"/>
  <c r="L48" i="11"/>
  <c r="L43" i="11"/>
  <c r="L42" i="11"/>
  <c r="L41" i="11"/>
  <c r="L40" i="11"/>
  <c r="L39" i="11"/>
  <c r="L38" i="11"/>
  <c r="L31" i="11"/>
  <c r="L29" i="11"/>
  <c r="L28" i="11"/>
  <c r="L22" i="11"/>
  <c r="L17" i="11"/>
  <c r="L16" i="11"/>
  <c r="L15" i="11"/>
  <c r="L14" i="11"/>
  <c r="L13" i="11"/>
  <c r="L18" i="11"/>
  <c r="D67" i="10" l="1"/>
  <c r="D66" i="10"/>
  <c r="D65" i="10"/>
  <c r="D39" i="10"/>
  <c r="D38" i="10"/>
  <c r="D37" i="10"/>
  <c r="H20" i="10"/>
  <c r="F39" i="20" s="1"/>
  <c r="H19" i="10"/>
  <c r="F80" i="20" s="1"/>
  <c r="D20" i="10"/>
  <c r="D19" i="10"/>
  <c r="E73" i="20" l="1"/>
  <c r="F73" i="20" s="1"/>
  <c r="C78" i="20"/>
  <c r="E77" i="20"/>
  <c r="F77" i="20" s="1"/>
  <c r="E76" i="20"/>
  <c r="F76" i="20" s="1"/>
  <c r="E74" i="20"/>
  <c r="F74" i="20" s="1"/>
  <c r="E72" i="20"/>
  <c r="F72" i="20" s="1"/>
  <c r="E67" i="20"/>
  <c r="F67" i="20" s="1"/>
  <c r="E66" i="20"/>
  <c r="F66" i="20" s="1"/>
  <c r="E65" i="20"/>
  <c r="F65" i="20" s="1"/>
  <c r="E63" i="20"/>
  <c r="F63" i="20" s="1"/>
  <c r="E62" i="20"/>
  <c r="F62" i="20" s="1"/>
  <c r="C37" i="20"/>
  <c r="E32" i="20"/>
  <c r="F32" i="20" s="1"/>
  <c r="E23" i="20"/>
  <c r="F23" i="20" s="1"/>
  <c r="E36" i="20"/>
  <c r="F36" i="20" s="1"/>
  <c r="E35" i="20"/>
  <c r="F35" i="20" s="1"/>
  <c r="E33" i="20"/>
  <c r="F33" i="20" s="1"/>
  <c r="E31" i="20"/>
  <c r="F31" i="20" s="1"/>
  <c r="E26" i="20"/>
  <c r="F26" i="20" s="1"/>
  <c r="E25" i="20"/>
  <c r="F25" i="20" s="1"/>
  <c r="E24" i="20"/>
  <c r="F24" i="20" s="1"/>
  <c r="E22" i="20"/>
  <c r="F22" i="20" s="1"/>
  <c r="E21" i="20"/>
  <c r="E64" i="20" l="1"/>
  <c r="F64" i="20" s="1"/>
  <c r="E75" i="20"/>
  <c r="F75" i="20" s="1"/>
  <c r="F78" i="20" s="1"/>
  <c r="D78" i="20"/>
  <c r="E34" i="20"/>
  <c r="F34" i="20" s="1"/>
  <c r="F37" i="20" s="1"/>
  <c r="E68" i="20" l="1"/>
  <c r="E78" i="20"/>
  <c r="E37" i="20"/>
  <c r="D68" i="20" l="1"/>
  <c r="C68" i="20"/>
  <c r="D58" i="20"/>
  <c r="C58" i="20"/>
  <c r="E57" i="20"/>
  <c r="F57" i="20" s="1"/>
  <c r="E56" i="20"/>
  <c r="F56" i="20" s="1"/>
  <c r="E55" i="20"/>
  <c r="F55" i="20" s="1"/>
  <c r="E54" i="20"/>
  <c r="F54" i="20" s="1"/>
  <c r="E53" i="20"/>
  <c r="F53" i="20" s="1"/>
  <c r="E52" i="20"/>
  <c r="F52" i="20" s="1"/>
  <c r="C79" i="20" l="1"/>
  <c r="D79" i="20"/>
  <c r="F58" i="20"/>
  <c r="E58" i="20"/>
  <c r="F68" i="20"/>
  <c r="F79" i="20" l="1"/>
  <c r="E79" i="20"/>
  <c r="F81" i="20" l="1"/>
  <c r="M28" i="18" s="1"/>
  <c r="C34" i="10"/>
  <c r="D34" i="10" s="1"/>
  <c r="C62" i="10" l="1"/>
  <c r="H62" i="10"/>
  <c r="C36" i="10"/>
  <c r="D36" i="10" s="1"/>
  <c r="C35" i="10"/>
  <c r="D35" i="10" s="1"/>
  <c r="C63" i="10" l="1"/>
  <c r="D63" i="10" s="1"/>
  <c r="D64" i="10"/>
  <c r="R12" i="11" l="1"/>
  <c r="R16" i="11" s="1"/>
  <c r="L60" i="11"/>
  <c r="H60" i="11"/>
  <c r="E60" i="11"/>
  <c r="B85" i="10"/>
  <c r="B84" i="10"/>
  <c r="B83" i="10"/>
  <c r="B82" i="10"/>
  <c r="B81" i="10"/>
  <c r="B80" i="10"/>
  <c r="B57" i="10"/>
  <c r="D33" i="11" s="1"/>
  <c r="I33" i="11" s="1"/>
  <c r="B56" i="10"/>
  <c r="B55" i="10"/>
  <c r="D31" i="11" s="1"/>
  <c r="I31" i="11" s="1"/>
  <c r="B54" i="10"/>
  <c r="B53" i="10"/>
  <c r="D29" i="11" s="1"/>
  <c r="I29" i="11" s="1"/>
  <c r="B52" i="10"/>
  <c r="C52" i="10" l="1"/>
  <c r="D52" i="10" s="1"/>
  <c r="D28" i="11"/>
  <c r="I28" i="11" s="1"/>
  <c r="C54" i="10"/>
  <c r="D54" i="10" s="1"/>
  <c r="D30" i="11"/>
  <c r="I30" i="11" s="1"/>
  <c r="C56" i="10"/>
  <c r="D56" i="10" s="1"/>
  <c r="D32" i="11"/>
  <c r="I32" i="11" s="1"/>
  <c r="H85" i="10"/>
  <c r="C85" i="10"/>
  <c r="D85" i="10" s="1"/>
  <c r="H83" i="10"/>
  <c r="C83" i="10"/>
  <c r="D83" i="10" s="1"/>
  <c r="C84" i="10"/>
  <c r="D84" i="10" s="1"/>
  <c r="C82" i="10"/>
  <c r="D82" i="10" s="1"/>
  <c r="C80" i="10"/>
  <c r="D80" i="10" s="1"/>
  <c r="H81" i="10"/>
  <c r="C81" i="10"/>
  <c r="D81" i="10" s="1"/>
  <c r="D58" i="11"/>
  <c r="I58" i="11" s="1"/>
  <c r="J58" i="11" s="1"/>
  <c r="D59" i="11"/>
  <c r="I59" i="11" s="1"/>
  <c r="M59" i="11" s="1"/>
  <c r="N59" i="11" s="1"/>
  <c r="L34" i="11"/>
  <c r="C53" i="10"/>
  <c r="D53" i="10" s="1"/>
  <c r="C55" i="10"/>
  <c r="D55" i="10" s="1"/>
  <c r="D54" i="11"/>
  <c r="I54" i="11" s="1"/>
  <c r="J54" i="11" s="1"/>
  <c r="D55" i="11"/>
  <c r="I55" i="11" s="1"/>
  <c r="M55" i="11" s="1"/>
  <c r="N55" i="11" s="1"/>
  <c r="D56" i="11"/>
  <c r="I56" i="11" s="1"/>
  <c r="C57" i="10"/>
  <c r="D57" i="10" s="1"/>
  <c r="D57" i="11"/>
  <c r="I57" i="11" s="1"/>
  <c r="H34" i="11"/>
  <c r="C60" i="11"/>
  <c r="C34" i="11"/>
  <c r="B86" i="10"/>
  <c r="H82" i="10"/>
  <c r="H84" i="10"/>
  <c r="B58" i="10"/>
  <c r="J59" i="11" l="1"/>
  <c r="M58" i="11"/>
  <c r="N58" i="11" s="1"/>
  <c r="D86" i="10"/>
  <c r="C86" i="10"/>
  <c r="D58" i="10"/>
  <c r="C58" i="10"/>
  <c r="M57" i="11"/>
  <c r="N57" i="11" s="1"/>
  <c r="J57" i="11"/>
  <c r="D60" i="11"/>
  <c r="J56" i="11"/>
  <c r="M56" i="11"/>
  <c r="N56" i="11" s="1"/>
  <c r="I60" i="11"/>
  <c r="M54" i="11"/>
  <c r="T16" i="11"/>
  <c r="J55" i="11"/>
  <c r="F86" i="10"/>
  <c r="H80" i="10"/>
  <c r="F58" i="10"/>
  <c r="J60" i="11" l="1"/>
  <c r="M60" i="11"/>
  <c r="N54" i="11"/>
  <c r="H86" i="10"/>
  <c r="G86" i="10"/>
  <c r="H58" i="10"/>
  <c r="G58" i="10"/>
  <c r="N60" i="11" l="1"/>
  <c r="B76" i="10"/>
  <c r="C76" i="10" s="1"/>
  <c r="B75" i="10"/>
  <c r="C75" i="10" s="1"/>
  <c r="B74" i="10"/>
  <c r="C74" i="10" s="1"/>
  <c r="B73" i="10"/>
  <c r="C73" i="10" s="1"/>
  <c r="B72" i="10"/>
  <c r="C72" i="10" s="1"/>
  <c r="C71" i="10"/>
  <c r="B48" i="10"/>
  <c r="B47" i="10"/>
  <c r="B45" i="10"/>
  <c r="B44" i="10"/>
  <c r="C48" i="10" l="1"/>
  <c r="C43" i="10"/>
  <c r="E30" i="11"/>
  <c r="C45" i="10"/>
  <c r="C44" i="10"/>
  <c r="C47" i="10"/>
  <c r="E32" i="11"/>
  <c r="E31" i="11"/>
  <c r="E33" i="11"/>
  <c r="D34" i="11" l="1"/>
  <c r="E29" i="11"/>
  <c r="E28" i="11"/>
  <c r="E34" i="11" s="1"/>
  <c r="N30" i="11"/>
  <c r="J32" i="11"/>
  <c r="N32" i="11"/>
  <c r="N33" i="11"/>
  <c r="J33" i="11"/>
  <c r="N29" i="11"/>
  <c r="O29" i="11" s="1"/>
  <c r="J29" i="11"/>
  <c r="K29" i="11" s="1"/>
  <c r="N31" i="11"/>
  <c r="O31" i="11" s="1"/>
  <c r="J31" i="11"/>
  <c r="K31" i="11" s="1"/>
  <c r="H26" i="10"/>
  <c r="H25" i="10"/>
  <c r="I34" i="11" l="1"/>
  <c r="J30" i="11"/>
  <c r="J28" i="11"/>
  <c r="K28" i="11" s="1"/>
  <c r="P17" i="18"/>
  <c r="M34" i="11"/>
  <c r="N28" i="11"/>
  <c r="Q15" i="18"/>
  <c r="J34" i="11" l="1"/>
  <c r="N34" i="11"/>
  <c r="O28" i="11"/>
  <c r="H44" i="11" l="1"/>
  <c r="D43" i="10" l="1"/>
  <c r="D44" i="10"/>
  <c r="D45" i="10"/>
  <c r="D46" i="10"/>
  <c r="D47" i="10"/>
  <c r="D48" i="10"/>
  <c r="P13" i="18" l="1"/>
  <c r="D51" i="11" l="1"/>
  <c r="I51" i="11" s="1"/>
  <c r="D50" i="11"/>
  <c r="I50" i="11" s="1"/>
  <c r="D49" i="11"/>
  <c r="D48" i="11"/>
  <c r="D47" i="11"/>
  <c r="I47" i="11" s="1"/>
  <c r="D46" i="11"/>
  <c r="D43" i="11"/>
  <c r="D42" i="11"/>
  <c r="D41" i="11"/>
  <c r="D40" i="11"/>
  <c r="D39" i="11"/>
  <c r="D38" i="11"/>
  <c r="C26" i="11"/>
  <c r="D25" i="11"/>
  <c r="D24" i="11"/>
  <c r="D23" i="11"/>
  <c r="D22" i="11"/>
  <c r="D21" i="11"/>
  <c r="D20" i="11"/>
  <c r="D17" i="11"/>
  <c r="D16" i="11"/>
  <c r="D15" i="11"/>
  <c r="D14" i="11"/>
  <c r="D13" i="11"/>
  <c r="D12" i="11"/>
  <c r="C52" i="11"/>
  <c r="C44" i="11"/>
  <c r="I43" i="11" l="1"/>
  <c r="I42" i="11"/>
  <c r="N42" i="11" s="1"/>
  <c r="O42" i="11" s="1"/>
  <c r="I48" i="11"/>
  <c r="J48" i="11" s="1"/>
  <c r="K48" i="11" s="1"/>
  <c r="I24" i="11"/>
  <c r="I16" i="11"/>
  <c r="I20" i="11"/>
  <c r="I49" i="11"/>
  <c r="N49" i="11" s="1"/>
  <c r="I25" i="11"/>
  <c r="N25" i="11" s="1"/>
  <c r="I17" i="11"/>
  <c r="I21" i="11"/>
  <c r="I23" i="11"/>
  <c r="J23" i="11" s="1"/>
  <c r="I15" i="11"/>
  <c r="I46" i="11"/>
  <c r="N46" i="11" s="1"/>
  <c r="O46" i="11" s="1"/>
  <c r="I22" i="11"/>
  <c r="N22" i="11" s="1"/>
  <c r="O22" i="11" s="1"/>
  <c r="I41" i="11"/>
  <c r="J41" i="11" s="1"/>
  <c r="K41" i="11" s="1"/>
  <c r="I39" i="11"/>
  <c r="N39" i="11" s="1"/>
  <c r="I14" i="11"/>
  <c r="I40" i="11"/>
  <c r="N40" i="11" s="1"/>
  <c r="O40" i="11" s="1"/>
  <c r="I13" i="11"/>
  <c r="C61" i="11"/>
  <c r="J43" i="11"/>
  <c r="K43" i="11" s="1"/>
  <c r="I38" i="11"/>
  <c r="I12" i="11"/>
  <c r="E51" i="11"/>
  <c r="N51" i="11"/>
  <c r="E47" i="11"/>
  <c r="N47" i="11"/>
  <c r="E50" i="11"/>
  <c r="E15" i="11"/>
  <c r="F15" i="11" s="1"/>
  <c r="J21" i="11"/>
  <c r="E25" i="11"/>
  <c r="E40" i="11"/>
  <c r="F40" i="11" s="1"/>
  <c r="E16" i="11"/>
  <c r="F16" i="11" s="1"/>
  <c r="E22" i="11"/>
  <c r="F22" i="11" s="1"/>
  <c r="E14" i="11"/>
  <c r="E24" i="11"/>
  <c r="E42" i="11"/>
  <c r="F42" i="11" s="1"/>
  <c r="E21" i="11"/>
  <c r="E41" i="11"/>
  <c r="F41" i="11" s="1"/>
  <c r="J46" i="11"/>
  <c r="K46" i="11" s="1"/>
  <c r="J20" i="11"/>
  <c r="K20" i="11" s="1"/>
  <c r="E20" i="11"/>
  <c r="F20" i="11" s="1"/>
  <c r="E38" i="11"/>
  <c r="F38" i="11" s="1"/>
  <c r="M31" i="18"/>
  <c r="M32" i="18" s="1"/>
  <c r="H52" i="11"/>
  <c r="H61" i="11" s="1"/>
  <c r="E13" i="11"/>
  <c r="F13" i="11" s="1"/>
  <c r="E17" i="11"/>
  <c r="E23" i="11"/>
  <c r="E39" i="11"/>
  <c r="F39" i="11" s="1"/>
  <c r="E43" i="11"/>
  <c r="F43" i="11" s="1"/>
  <c r="E49" i="11"/>
  <c r="D26" i="11"/>
  <c r="D44" i="11"/>
  <c r="E48" i="11"/>
  <c r="F48" i="11" s="1"/>
  <c r="H26" i="11"/>
  <c r="D52" i="11"/>
  <c r="E46" i="11"/>
  <c r="F46" i="11" s="1"/>
  <c r="C27" i="20"/>
  <c r="F21" i="20"/>
  <c r="E16" i="20"/>
  <c r="F16" i="20" s="1"/>
  <c r="E15" i="20"/>
  <c r="F15" i="20" s="1"/>
  <c r="E14" i="20"/>
  <c r="F14" i="20" s="1"/>
  <c r="E13" i="20"/>
  <c r="F13" i="20" s="1"/>
  <c r="E12" i="20"/>
  <c r="F12" i="20" s="1"/>
  <c r="E11" i="20"/>
  <c r="F11" i="20" s="1"/>
  <c r="J49" i="11" l="1"/>
  <c r="N23" i="11"/>
  <c r="N48" i="11"/>
  <c r="O48" i="11" s="1"/>
  <c r="J12" i="11"/>
  <c r="M18" i="11"/>
  <c r="J38" i="11"/>
  <c r="K38" i="11" s="1"/>
  <c r="N38" i="11"/>
  <c r="O38" i="11" s="1"/>
  <c r="N41" i="11"/>
  <c r="O41" i="11" s="1"/>
  <c r="N43" i="11"/>
  <c r="O43" i="11" s="1"/>
  <c r="D61" i="11"/>
  <c r="J24" i="11"/>
  <c r="J42" i="11"/>
  <c r="K42" i="11" s="1"/>
  <c r="J39" i="11"/>
  <c r="K39" i="11" s="1"/>
  <c r="I18" i="11"/>
  <c r="I44" i="11"/>
  <c r="O39" i="11"/>
  <c r="N24" i="11"/>
  <c r="N21" i="11"/>
  <c r="L52" i="11"/>
  <c r="E26" i="11"/>
  <c r="J25" i="11"/>
  <c r="J51" i="11"/>
  <c r="J47" i="11"/>
  <c r="E44" i="11"/>
  <c r="L44" i="11"/>
  <c r="L26" i="11"/>
  <c r="L35" i="11" s="1"/>
  <c r="N20" i="11"/>
  <c r="O20" i="11" s="1"/>
  <c r="N50" i="11"/>
  <c r="J50" i="11"/>
  <c r="J40" i="11"/>
  <c r="K40" i="11" s="1"/>
  <c r="E52" i="11"/>
  <c r="J22" i="11"/>
  <c r="K22" i="11" s="1"/>
  <c r="I52" i="11"/>
  <c r="I26" i="11"/>
  <c r="E17" i="20"/>
  <c r="F17" i="20"/>
  <c r="E27" i="20"/>
  <c r="D17" i="20"/>
  <c r="D38" i="20" s="1"/>
  <c r="C17" i="20"/>
  <c r="C38" i="20" s="1"/>
  <c r="C83" i="20" s="1"/>
  <c r="F27" i="20"/>
  <c r="I35" i="11" l="1"/>
  <c r="L61" i="11"/>
  <c r="L62" i="11" s="1"/>
  <c r="D83" i="20"/>
  <c r="E38" i="20"/>
  <c r="E83" i="20" s="1"/>
  <c r="F38" i="20"/>
  <c r="I61" i="11"/>
  <c r="E61" i="11"/>
  <c r="M26" i="11"/>
  <c r="M35" i="11" s="1"/>
  <c r="J44" i="11"/>
  <c r="N26" i="11"/>
  <c r="M52" i="11"/>
  <c r="M61" i="11" s="1"/>
  <c r="J26" i="11"/>
  <c r="J52" i="11"/>
  <c r="N44" i="11"/>
  <c r="N52" i="11"/>
  <c r="M62" i="11" l="1"/>
  <c r="F40" i="20"/>
  <c r="Q28" i="18" s="1"/>
  <c r="F83" i="20"/>
  <c r="J61" i="11"/>
  <c r="N61" i="11"/>
  <c r="H76" i="10"/>
  <c r="H75" i="10"/>
  <c r="D75" i="10"/>
  <c r="H74" i="10"/>
  <c r="D74" i="10"/>
  <c r="H73" i="10"/>
  <c r="D73" i="10"/>
  <c r="H72" i="10"/>
  <c r="D72" i="10"/>
  <c r="D71" i="10"/>
  <c r="D76" i="10" l="1"/>
  <c r="B77" i="10"/>
  <c r="C77" i="10" l="1"/>
  <c r="D77" i="10"/>
  <c r="F77" i="10"/>
  <c r="H71" i="10"/>
  <c r="H77" i="10" l="1"/>
  <c r="G77" i="10"/>
  <c r="L13" i="18" l="1"/>
  <c r="M15" i="18" s="1"/>
  <c r="F49" i="10"/>
  <c r="B49" i="10"/>
  <c r="F14" i="11" l="1"/>
  <c r="C18" i="11"/>
  <c r="H49" i="10"/>
  <c r="G49" i="10"/>
  <c r="D49" i="10"/>
  <c r="C49" i="10"/>
  <c r="C131" i="10"/>
  <c r="C121" i="10"/>
  <c r="G114" i="10"/>
  <c r="H114" i="10" s="1"/>
  <c r="C114" i="10"/>
  <c r="D114" i="10" s="1"/>
  <c r="J15" i="11"/>
  <c r="K15" i="11" s="1"/>
  <c r="J14" i="11"/>
  <c r="K14" i="11" s="1"/>
  <c r="J13" i="11"/>
  <c r="K13" i="11" s="1"/>
  <c r="G24" i="10"/>
  <c r="H24" i="10" s="1"/>
  <c r="G25" i="10"/>
  <c r="C24" i="10"/>
  <c r="D24" i="10" s="1"/>
  <c r="C25" i="10"/>
  <c r="D25" i="10" s="1"/>
  <c r="B21" i="10"/>
  <c r="C35" i="11" l="1"/>
  <c r="C62" i="11" s="1"/>
  <c r="N13" i="11"/>
  <c r="O13" i="11" s="1"/>
  <c r="N14" i="11"/>
  <c r="O14" i="11" s="1"/>
  <c r="N15" i="11"/>
  <c r="O15" i="11" s="1"/>
  <c r="H18" i="11"/>
  <c r="H35" i="11" s="1"/>
  <c r="P42" i="18"/>
  <c r="P37" i="18"/>
  <c r="P16" i="18" s="1"/>
  <c r="L42" i="18"/>
  <c r="L37" i="18"/>
  <c r="F27" i="10"/>
  <c r="G26" i="10"/>
  <c r="G23" i="10"/>
  <c r="H23" i="10" s="1"/>
  <c r="C26" i="10"/>
  <c r="D26" i="10" s="1"/>
  <c r="C23" i="10"/>
  <c r="D23" i="10" s="1"/>
  <c r="B27" i="10"/>
  <c r="F21" i="10"/>
  <c r="F16" i="10"/>
  <c r="B16" i="10"/>
  <c r="L16" i="18" l="1"/>
  <c r="M18" i="18" s="1"/>
  <c r="M19" i="18" s="1"/>
  <c r="Q18" i="18"/>
  <c r="Q19" i="18" s="1"/>
  <c r="H62" i="11"/>
  <c r="E12" i="11"/>
  <c r="F12" i="11" s="1"/>
  <c r="D18" i="11"/>
  <c r="G21" i="10"/>
  <c r="C27" i="10"/>
  <c r="F29" i="10"/>
  <c r="B29" i="10"/>
  <c r="D27" i="10"/>
  <c r="G138" i="10"/>
  <c r="G131" i="10"/>
  <c r="G140" i="10" s="1"/>
  <c r="G27" i="10"/>
  <c r="D21" i="10"/>
  <c r="H27" i="10"/>
  <c r="H21" i="10"/>
  <c r="C21" i="10"/>
  <c r="F107" i="10" l="1"/>
  <c r="G107" i="10"/>
  <c r="D35" i="11"/>
  <c r="D62" i="11" s="1"/>
  <c r="G15" i="10" l="1"/>
  <c r="H15" i="10" s="1"/>
  <c r="C14" i="10"/>
  <c r="C15" i="10"/>
  <c r="D15" i="10" s="1"/>
  <c r="D14" i="10" l="1"/>
  <c r="D16" i="10" s="1"/>
  <c r="D29" i="10" s="1"/>
  <c r="D107" i="10" s="1"/>
  <c r="C16" i="10"/>
  <c r="C29" i="10" s="1"/>
  <c r="H42" i="18"/>
  <c r="H37" i="18"/>
  <c r="H16" i="18" s="1"/>
  <c r="D37" i="18"/>
  <c r="H11" i="18"/>
  <c r="H17" i="18" s="1"/>
  <c r="H18" i="18" s="1"/>
  <c r="H19" i="18" s="1"/>
  <c r="D11" i="18"/>
  <c r="D17" i="18" s="1"/>
  <c r="D18" i="18" s="1"/>
  <c r="D19" i="18" s="1"/>
  <c r="G121" i="10"/>
  <c r="G124" i="10" s="1"/>
  <c r="G117" i="10"/>
  <c r="C117" i="10"/>
  <c r="D121" i="10" l="1"/>
  <c r="D124" i="10" s="1"/>
  <c r="C124" i="10"/>
  <c r="H20" i="18"/>
  <c r="H121" i="10"/>
  <c r="H124" i="10" s="1"/>
  <c r="H13" i="18"/>
  <c r="H24" i="18" l="1"/>
  <c r="H25" i="18" s="1"/>
  <c r="G26" i="18" s="1"/>
  <c r="F17" i="11"/>
  <c r="N16" i="11" l="1"/>
  <c r="O16" i="11" s="1"/>
  <c r="J16" i="11"/>
  <c r="K16" i="11" s="1"/>
  <c r="E18" i="11"/>
  <c r="H29" i="18"/>
  <c r="H31" i="18" s="1"/>
  <c r="H32" i="18" s="1"/>
  <c r="E35" i="11" l="1"/>
  <c r="E62" i="11" s="1"/>
  <c r="G14" i="10"/>
  <c r="G16" i="10" l="1"/>
  <c r="G29" i="10" s="1"/>
  <c r="H14" i="10"/>
  <c r="H16" i="10" s="1"/>
  <c r="H29" i="10" s="1"/>
  <c r="H107" i="10" s="1"/>
  <c r="B4" i="18" l="1"/>
  <c r="B3" i="18"/>
  <c r="B2" i="18"/>
  <c r="B40" i="10" l="1"/>
  <c r="B68" i="10"/>
  <c r="B105" i="10" l="1"/>
  <c r="D40" i="10"/>
  <c r="J125" i="10" s="1"/>
  <c r="J17" i="11"/>
  <c r="K17" i="11" s="1"/>
  <c r="C138" i="10"/>
  <c r="C140" i="10" s="1"/>
  <c r="F68" i="10"/>
  <c r="L23" i="18" s="1"/>
  <c r="D68" i="10"/>
  <c r="J111" i="10" s="1"/>
  <c r="C68" i="10"/>
  <c r="C40" i="10"/>
  <c r="F40" i="10"/>
  <c r="P23" i="18" s="1"/>
  <c r="G40" i="10"/>
  <c r="H40" i="10"/>
  <c r="J106" i="10" s="1"/>
  <c r="C107" i="10" l="1"/>
  <c r="B107" i="10"/>
  <c r="D105" i="10"/>
  <c r="B109" i="10"/>
  <c r="F105" i="10"/>
  <c r="F109" i="10" s="1"/>
  <c r="C105" i="10"/>
  <c r="D138" i="10"/>
  <c r="M24" i="18"/>
  <c r="M25" i="18" s="1"/>
  <c r="M26" i="18" s="1"/>
  <c r="Q24" i="18"/>
  <c r="Q25" i="18" s="1"/>
  <c r="N12" i="11"/>
  <c r="D131" i="10"/>
  <c r="N17" i="11"/>
  <c r="O17" i="11" s="1"/>
  <c r="I62" i="11"/>
  <c r="D117" i="10"/>
  <c r="H68" i="10"/>
  <c r="J105" i="10" s="1"/>
  <c r="G68" i="10"/>
  <c r="G105" i="10" s="1"/>
  <c r="G109" i="10" s="1"/>
  <c r="D13" i="18"/>
  <c r="D22" i="18"/>
  <c r="D23" i="18" s="1"/>
  <c r="D109" i="10" l="1"/>
  <c r="I125" i="10"/>
  <c r="K125" i="10" s="1"/>
  <c r="I111" i="10"/>
  <c r="K111" i="10" s="1"/>
  <c r="C109" i="10"/>
  <c r="D140" i="10"/>
  <c r="H105" i="10"/>
  <c r="N18" i="11"/>
  <c r="N35" i="11" s="1"/>
  <c r="H131" i="10"/>
  <c r="O12" i="11"/>
  <c r="H117" i="10"/>
  <c r="H138" i="10"/>
  <c r="J18" i="11"/>
  <c r="K12" i="11"/>
  <c r="D20" i="18"/>
  <c r="D41" i="18"/>
  <c r="D42" i="18" s="1"/>
  <c r="D141" i="10" l="1"/>
  <c r="I105" i="10"/>
  <c r="I106" i="10"/>
  <c r="H109" i="10"/>
  <c r="K106" i="10"/>
  <c r="K105" i="10"/>
  <c r="L105" i="10" s="1"/>
  <c r="H140" i="10"/>
  <c r="J35" i="11"/>
  <c r="J62" i="11" s="1"/>
  <c r="N62" i="11"/>
  <c r="Q29" i="18"/>
  <c r="Q31" i="18" s="1"/>
  <c r="Q32" i="18" s="1"/>
  <c r="Q26" i="18"/>
  <c r="D29" i="18"/>
  <c r="D31" i="18" s="1"/>
  <c r="D32" i="18" s="1"/>
  <c r="D21" i="18"/>
  <c r="D24" i="18" s="1"/>
  <c r="D25" i="18" s="1"/>
  <c r="C26" i="18" s="1"/>
  <c r="H141" i="10" l="1"/>
</calcChain>
</file>

<file path=xl/sharedStrings.xml><?xml version="1.0" encoding="utf-8"?>
<sst xmlns="http://schemas.openxmlformats.org/spreadsheetml/2006/main" count="539" uniqueCount="230">
  <si>
    <t xml:space="preserve"> </t>
  </si>
  <si>
    <t>STATEMENT OF SOURCES AND USES OF FUNDS</t>
  </si>
  <si>
    <t>Particulars</t>
  </si>
  <si>
    <t>Pak Rs.</t>
  </si>
  <si>
    <t>Opening Balance</t>
  </si>
  <si>
    <t>Closing  Balance</t>
  </si>
  <si>
    <t>VARIANCE ANALYSIS OF USE OF FUNDS</t>
  </si>
  <si>
    <t>Component Details</t>
  </si>
  <si>
    <t>Cumulative - Inception to Date (Pak Rs)</t>
  </si>
  <si>
    <t>Variance</t>
  </si>
  <si>
    <t>%age</t>
  </si>
  <si>
    <t>I</t>
  </si>
  <si>
    <t>II</t>
  </si>
  <si>
    <t>III</t>
  </si>
  <si>
    <t>Note</t>
  </si>
  <si>
    <t>US$</t>
  </si>
  <si>
    <t>PART I</t>
  </si>
  <si>
    <t>3.  Outstanding Advances to be accounted for (Line 1 minus Line 2)</t>
  </si>
  <si>
    <t xml:space="preserve">PART II </t>
  </si>
  <si>
    <t>7.  Sub total of Advances and Adjustments  (5+6)</t>
  </si>
  <si>
    <t>12. Sub total of Adjustments and Expenditure (10+11)</t>
  </si>
  <si>
    <t>14. Difference if any (Line 8 minus Line 13)</t>
  </si>
  <si>
    <t>PART III</t>
  </si>
  <si>
    <t>16. Less: Closing DA balance</t>
  </si>
  <si>
    <t>17. Forecasted Direct Payments</t>
  </si>
  <si>
    <t>18. Sub total of closing DA balance and forecasted payments (Line 16 plus Line 17)</t>
  </si>
  <si>
    <t>Note: Bank reconciliation statement and copy of the bank statement for the period should be attached</t>
  </si>
  <si>
    <t>Note 1: Cumulative Adjustments (if any) - Line 5</t>
  </si>
  <si>
    <t>Note 2: Cumulative Adjustments (if any) - Line 10</t>
  </si>
  <si>
    <t>5.  Subtract:  Cumulative Adjustments (if any)</t>
  </si>
  <si>
    <t>10.  Subtract:  Cumulative Adjustments (if any)</t>
  </si>
  <si>
    <t>Cash Requirements</t>
  </si>
  <si>
    <t>USD</t>
  </si>
  <si>
    <t>Planned Rs</t>
  </si>
  <si>
    <t>Actual Rs</t>
  </si>
  <si>
    <t>Amount Rs</t>
  </si>
  <si>
    <t>8.  Outstanding Advances to be accounted for (Line 4 plus Line 7)</t>
  </si>
  <si>
    <t>19. Cash requirement from IDA for the next reporting period (Line 15 minus Line 18)</t>
  </si>
  <si>
    <t>Non-Consulting Services</t>
  </si>
  <si>
    <t>Consultants' Services (Individuals and Firms)</t>
  </si>
  <si>
    <t xml:space="preserve">SOURCES OF FUNDS </t>
  </si>
  <si>
    <t>CLOSING BALANCE (As per Break up given below)</t>
  </si>
  <si>
    <t>Pak Rupees</t>
  </si>
  <si>
    <t xml:space="preserve">Total </t>
  </si>
  <si>
    <t>Total Receipts</t>
  </si>
  <si>
    <t xml:space="preserve">Provide Resons for all Variances beyond 15% </t>
  </si>
  <si>
    <t>1.  Advances to the end of current semester</t>
  </si>
  <si>
    <t>2.  Expenditure to the end of last semester</t>
  </si>
  <si>
    <t>4.  DA balance at beginning of semester</t>
  </si>
  <si>
    <t xml:space="preserve">6.  Advances from IDA during the semester </t>
  </si>
  <si>
    <t>15. Total forecasted amount to be paid by IDA</t>
  </si>
  <si>
    <t>22. Total petty cash balance and Advance at the start of the semester</t>
  </si>
  <si>
    <t>25. Total petty cash balance and Advance at the end of the semester</t>
  </si>
  <si>
    <t>11.  Expenditure for current reporting Semester</t>
  </si>
  <si>
    <t>Cumulative - Inception to Date</t>
  </si>
  <si>
    <t>Designated Account Balance - IDA</t>
  </si>
  <si>
    <t>Cash in Hand (if any) - IDA</t>
  </si>
  <si>
    <t>Trainings and Workshops</t>
  </si>
  <si>
    <t>Advances with Implementing Partners (if any) - IDA</t>
  </si>
  <si>
    <t xml:space="preserve">      a) Disbursement Category 3</t>
  </si>
  <si>
    <t>Incremental operating cost</t>
  </si>
  <si>
    <t>Remarks for 10% above variation</t>
  </si>
  <si>
    <t xml:space="preserve">Designated Account Balance </t>
  </si>
  <si>
    <t>DA 1</t>
  </si>
  <si>
    <t>DA 2</t>
  </si>
  <si>
    <t xml:space="preserve">DESIGNATED ACCOUNT ACTIVITY STATEMENT </t>
  </si>
  <si>
    <t>Incremental operating cost (payroll, travel, etc)</t>
  </si>
  <si>
    <t>Breakup of Opening and Closing Cash Balance  - DA-1 (Component XXX)</t>
  </si>
  <si>
    <t>Breakup of Opening and Closing Cash Balance XXXX - DA-2 (Component XXX) (If Applicable)</t>
  </si>
  <si>
    <t>XXXX</t>
  </si>
  <si>
    <t>If Applicable</t>
  </si>
  <si>
    <t>Education</t>
  </si>
  <si>
    <t xml:space="preserve">Health </t>
  </si>
  <si>
    <t>Designated Account Receipts CREDIT - DA-1 - IDA XXXX</t>
  </si>
  <si>
    <t xml:space="preserve">Designated Account Receipts GRANT - DA-2 - IDA XXXX </t>
  </si>
  <si>
    <t>Total Receipts - Education</t>
  </si>
  <si>
    <t xml:space="preserve">Total Receipts - Health </t>
  </si>
  <si>
    <t>Direct Payments  Education - IDA XXXX</t>
  </si>
  <si>
    <t>Total Direct Payments</t>
  </si>
  <si>
    <t>Goods (Tangible and Intangible)</t>
  </si>
  <si>
    <t>Civil Works</t>
  </si>
  <si>
    <t>Amount in USD</t>
  </si>
  <si>
    <t>TOTAL</t>
  </si>
  <si>
    <t>Total Component 1 Grant</t>
  </si>
  <si>
    <t>Total Component 1 Credit</t>
  </si>
  <si>
    <t>Component 2 - XXXX (Education Grant USD XX Million)</t>
  </si>
  <si>
    <t>Component 2 - XXXX (Education Credit USD XX Million)</t>
  </si>
  <si>
    <t>Total Component 2 Grant</t>
  </si>
  <si>
    <t>Total Component 2 Credit</t>
  </si>
  <si>
    <t>Total Uses of Funds</t>
  </si>
  <si>
    <t>Direct Payments  Education - Grant XXXX</t>
  </si>
  <si>
    <t>P166309: Khyber Pakhtunkhwa Human Capital InvestmentProject</t>
  </si>
  <si>
    <t>Designated Account Receipts CREDIT - DA-3 - IDA 6740-PK</t>
  </si>
  <si>
    <t>Designated Account Receipts GRANT - DA-4 - IDA D680-PK</t>
  </si>
  <si>
    <t>Direct Payments  Health - CREDIT IDA 6714-PK</t>
  </si>
  <si>
    <t>Direct Payments  Health - GRANT IDA D680-PK</t>
  </si>
  <si>
    <t>Designated Account Balance - IDA Credit 6714-PK</t>
  </si>
  <si>
    <t>Advances with Implementing Partners (if any) - IDA Credit 6714-PK</t>
  </si>
  <si>
    <t>Designated Account Balance - IDA Grant D680-PK</t>
  </si>
  <si>
    <t>Cash in Hand (if any) - IDA Grant D680-PK</t>
  </si>
  <si>
    <t>Cash in Hand (if any) - IDA Credit 6714-PK</t>
  </si>
  <si>
    <t>Advances with Implementing Partners (if any) - IDA Grant D680-PK</t>
  </si>
  <si>
    <t>Government of Khyber Pakhtunkhwa</t>
  </si>
  <si>
    <t>P166309</t>
  </si>
  <si>
    <t>Khyber Pakhtunkhwa Human Capital Investment (KP-HCI) - Health Component</t>
  </si>
  <si>
    <t>Goods (Hardware and Software, Office Equipment &amp; Vehicles)</t>
  </si>
  <si>
    <t>Incremental Operating cost</t>
  </si>
  <si>
    <t>Advance already availed</t>
  </si>
  <si>
    <t>USES OF FUNDS:</t>
  </si>
  <si>
    <t xml:space="preserve">IDA Grant No. D680-PK </t>
  </si>
  <si>
    <t>Total Component 3 Grant</t>
  </si>
  <si>
    <t>Total Component 3 Credit</t>
  </si>
  <si>
    <t>BANK RECONCILIATION STATEMENT</t>
  </si>
  <si>
    <t xml:space="preserve">                 </t>
  </si>
  <si>
    <t xml:space="preserve">
 </t>
  </si>
  <si>
    <t>Less:</t>
  </si>
  <si>
    <t xml:space="preserve">UNPRESENTED CHEQUES/CHEQUE ISSUED BUT NOT YET PRESENTED </t>
  </si>
  <si>
    <t>Voucher No.</t>
  </si>
  <si>
    <t>Cheque No.</t>
  </si>
  <si>
    <t>Amount in PKR</t>
  </si>
  <si>
    <t>Conversion Rate</t>
  </si>
  <si>
    <t>KHYBER PAKHTUNKHWA HUMAN CAPITAL INVESTMENT PROJECT (KP-HCIP) HEALTH</t>
  </si>
  <si>
    <t>Cheque Date</t>
  </si>
  <si>
    <t>IDA Credit No. 6714-PK</t>
  </si>
  <si>
    <t>T O T A L -1</t>
  </si>
  <si>
    <t>T O T A L -2</t>
  </si>
  <si>
    <t>DA 3 IDA CREDIT</t>
  </si>
  <si>
    <t>DA 4 IDA GRANT</t>
  </si>
  <si>
    <t>A-128 IDA GRANT</t>
  </si>
  <si>
    <t>A-129 IDA CREDIT</t>
  </si>
  <si>
    <t>Grand Total (Grant+Credit)</t>
  </si>
  <si>
    <t>GRANT 42%</t>
  </si>
  <si>
    <t>CREDIT 58%</t>
  </si>
  <si>
    <t>Sub Total  - Component 1</t>
  </si>
  <si>
    <t>Sub Total  - Component 3</t>
  </si>
  <si>
    <t>Sub Total Component 1</t>
  </si>
  <si>
    <t>Sub Total Component 3</t>
  </si>
  <si>
    <t>9.   DA balance at the end of semester</t>
  </si>
  <si>
    <t>P166309: Khyber Pakhtunkhwa Human Capital Investment Project</t>
  </si>
  <si>
    <t>IDA Grant No. D680-PK &amp; IDA Credit No. 6740-PK</t>
  </si>
  <si>
    <r>
      <t>DA-128 (IDA GRANT): REVOLVING FUND ACCOUNT- (FOREIGN CURRENCY) NO.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4174006254</t>
    </r>
  </si>
  <si>
    <r>
      <t>DA-129 (IDA CREDIT): REVOLVING FUND ACCOUNT- (FOREIGN CURRENCY) NO.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4174006263</t>
    </r>
  </si>
  <si>
    <t>Total</t>
  </si>
  <si>
    <t>Closing Balance</t>
  </si>
  <si>
    <t>21-22</t>
  </si>
  <si>
    <t>22-23</t>
  </si>
  <si>
    <t>FY</t>
  </si>
  <si>
    <t>Actual Exp.</t>
  </si>
  <si>
    <t>Total Component 4 Grant</t>
  </si>
  <si>
    <t>Total Component 4 Credit</t>
  </si>
  <si>
    <t>Total Component 1 + 3 + 4</t>
  </si>
  <si>
    <t>Sub Total  - Component 4</t>
  </si>
  <si>
    <t xml:space="preserve">13. Advances accounted for (Add Line 9 and Line 12) </t>
  </si>
  <si>
    <t>Closing DA balance</t>
  </si>
  <si>
    <t xml:space="preserve">Component 4 - Flood Response in Emergency (Health- Credit USD 10.06 Million) (10.06X0%) </t>
  </si>
  <si>
    <t xml:space="preserve">Component 1 -Improving Delivery of Quality Primary Health Care Services (Health- Grant USD 73.589 Million) (85X42%) </t>
  </si>
  <si>
    <t xml:space="preserve">Component 3 -Strengthing Community Engagement and Accountability (Health- Grant USD 1.351 Million) (85X42%) </t>
  </si>
  <si>
    <t xml:space="preserve">Component 4 - Flood Response in Emergency (Health- Grant USD 10.06 Million) (10.060X100%) </t>
  </si>
  <si>
    <t xml:space="preserve">Component 1 -Improving Delivery of Quality Primary Health Care Services (Health- Credit USD 73.589 Million) ($85X58%) </t>
  </si>
  <si>
    <t xml:space="preserve">Component 3 -Strenghting Community Engagement and Accountability (Health- Credit USD 1.351 Million) ($85X58%) </t>
  </si>
  <si>
    <t>Planned</t>
  </si>
  <si>
    <t>Component 1: Improving Delivery of Quality Primary Health Care Services (USD 73.589 Million)</t>
  </si>
  <si>
    <t>Component 3:  Strengthening Community Engagement and Accountability (USD 1.351 Million)</t>
  </si>
  <si>
    <t>Total  Sub- Component 3</t>
  </si>
  <si>
    <t>Total  Sub- Component 4</t>
  </si>
  <si>
    <t>Total   Sub-Component 1</t>
  </si>
  <si>
    <t>GRAMT T O T A L 1+2</t>
  </si>
  <si>
    <t>Cumulative for the FY 2023-24</t>
  </si>
  <si>
    <t>23-24</t>
  </si>
  <si>
    <t>23. Petty Cash on 30/06/2024</t>
  </si>
  <si>
    <t>20. Petty Cash on 30/06/2024</t>
  </si>
  <si>
    <t>Total Cash Requirements for Next Six Months</t>
  </si>
  <si>
    <t>24-25</t>
  </si>
  <si>
    <t>25-26</t>
  </si>
  <si>
    <t>Actual %</t>
  </si>
  <si>
    <t>As per IUFR %</t>
  </si>
  <si>
    <t>Difference</t>
  </si>
  <si>
    <t>Interim Financial Report for the Semester ended 30/06/2024</t>
  </si>
  <si>
    <t>For the Semester ended 30/06/2024</t>
  </si>
  <si>
    <t>PKR</t>
  </si>
  <si>
    <t>Breakup of Opening and Closing Cash Balance 30-06-2024 - DA-3 (Component 1 -Improving Delivery of Quality Primary Health Care Services) (If Applicable)</t>
  </si>
  <si>
    <t>Breakup of Opening and Closing Cash Balance 30-06-2024 - DA-4 (Component 1 -Improving Delivery of Quality Primary Health Care Services) (If Applicable)</t>
  </si>
  <si>
    <t>Semester (30/06/2024)</t>
  </si>
  <si>
    <t>Quarter                      Jul-Sep-2024</t>
  </si>
  <si>
    <t>Quarter                    Oct-Dec-2024</t>
  </si>
  <si>
    <t>Advance required for July - 2024 to December - 2024</t>
  </si>
  <si>
    <t>Tentative Cash Froecast for the Six Months Ending 31-12-2024</t>
  </si>
  <si>
    <t>21. Advances with partnering institution as at 30/06/2024</t>
  </si>
  <si>
    <t>24. Advances with the implementing partner as at 30/06/2024</t>
  </si>
  <si>
    <t>As on 30th June, 2024</t>
  </si>
  <si>
    <t>Balance as per Bank Statement as on 30th June, 2024</t>
  </si>
  <si>
    <t>Paid to Sultan Ahmed Khan against PMU office rent for Apr-24 to March-24</t>
  </si>
  <si>
    <t>30-04-2024</t>
  </si>
  <si>
    <t>Paid to Secretary PCRDP against DPR payable for May-24</t>
  </si>
  <si>
    <t>Paid to PMU Staff for Salary for the month of June-2024</t>
  </si>
  <si>
    <t>28-06-2024</t>
  </si>
  <si>
    <t>Paid to Dr. Ikram PD for salary of June-2024</t>
  </si>
  <si>
    <t>Paid to Mr. Naeem Khan PS for salary of June-2024</t>
  </si>
  <si>
    <t>Paid to Mr. Yaseen Web Developer for salary of June-2024</t>
  </si>
  <si>
    <t>Paid to Mr. Naqeeb Resident Engineer for salary of June-2024</t>
  </si>
  <si>
    <t>Paid to Dr. Erum Health Promotion Specialist for salary of June-2024</t>
  </si>
  <si>
    <t>Paid to Mr. Ihsan Social and Gender Specialist consultancy for the month of June-24</t>
  </si>
  <si>
    <t>Paid to Dr. Ayman Khan Quality care Specialist consultancy for the month of June-24</t>
  </si>
  <si>
    <t>Paid to Mr. Bilal Ahmed ARE Consultancy for the month of June-24</t>
  </si>
  <si>
    <t>Paid to Miss Lala Rukh GS Consultancy for the month of June-24</t>
  </si>
  <si>
    <t>Paid to Mr. Adnan Envoirnmental Specialist Consultancy for the month of June-24</t>
  </si>
  <si>
    <t>Paid to Mr. Fahad Khan Procurement Associates Consultancy for the month of June-24</t>
  </si>
  <si>
    <t>Paid to PESCO against PMU Electricity bill for June-24</t>
  </si>
  <si>
    <t>Paid to NTC against PMU Telephone bills for May-24</t>
  </si>
  <si>
    <t>Paid to Zarar and Zawar for Inverter supply to PMU</t>
  </si>
  <si>
    <t>Paid to M/S Sunrise &amp; co. against Janitor staff salaries for June-24</t>
  </si>
  <si>
    <t>Paid to M/S One Source against Security staff salaries for June 24</t>
  </si>
  <si>
    <t>Paid to M/S Ijaz Enterprises against supply of equipments o CatD Hospital</t>
  </si>
  <si>
    <t>Paid to Miss Mehwish against office supplies for June-24</t>
  </si>
  <si>
    <t>Paid to Miss Lala Rukh GS against TA/DA</t>
  </si>
  <si>
    <t>Paid to Director Information against Advertisement charges</t>
  </si>
  <si>
    <t>Paid to M/S MA Traders against supply of Waste Bins</t>
  </si>
  <si>
    <t>Paid to M/S MA Traders against supply of GRM Boxes</t>
  </si>
  <si>
    <t>Paid to M/S Wings consultant against BeMONC design</t>
  </si>
  <si>
    <t>Paid to Director KPRA against PST Payable for June-24</t>
  </si>
  <si>
    <t>Paid to Secretary PCEDP against DPR payable for June-24</t>
  </si>
  <si>
    <t>Balance as per KP-HCIP Bank/Cash Book, as on 30th June, 2024</t>
  </si>
  <si>
    <t>Paid to Sultan Ahmed Khan against PMU rent for Apr-24 to Sep-24</t>
  </si>
  <si>
    <t>30/04/2024</t>
  </si>
  <si>
    <t>13/06/2024</t>
  </si>
  <si>
    <t>28/06/2024</t>
  </si>
  <si>
    <t>Paid to M/S Abdul Aziz aginst batteries for PMU backup</t>
  </si>
  <si>
    <t>Paid to Mehwish for official guest charges for May and June-24</t>
  </si>
  <si>
    <t>Paid to Mr. Ihsan Social and Gender Specialist for TA/DA</t>
  </si>
  <si>
    <t>Paid to Secretary PCRDP against DPR payable for June-24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</si>
</sst>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_);_(@_)"/>
    <numFmt numFmtId="167" formatCode="_(&quot;$&quot;* #,##0_);_(&quot;$&quot;* \(#,##0\);_(&quot;$&quot;* &quot;-&quot;??_);_(@_)"/>
    <numFmt numFmtId="168" formatCode="_([$PKR]\ * #,##0.00_);_([$PKR]\ * \(#,##0.00\);_([$PKR]\ * &quot;-&quot;??_);_(@_)"/>
    <numFmt numFmtId="169" formatCode="_([$PKR]\ * #,##0_);_([$PKR]\ * \(#,##0\);_([$PKR]\ * &quot;-&quot;??_);_(@_)"/>
    <numFmt numFmtId="170" formatCode="[$Rs-420]#,##0_-"/>
    <numFmt numFmtId="171" formatCode="_-[$PKR]\ * #,##0.00_-;\-[$PKR]\ * #,##0.00_-;_-[$PKR]\ * &quot;-&quot;??_-;_-@_-"/>
    <numFmt numFmtId="172" formatCode="_-* #,##0.000_-;\-* #,##0.000_-;_-* &quot;-&quot;??_-;_-@_-"/>
    <numFmt numFmtId="173" formatCode="0.000"/>
    <numFmt numFmtId="174" formatCode="_(&quot;$&quot;* #,##0.0_);_(&quot;$&quot;* \(#,##0.0\);_(&quot;$&quot;* &quot;-&quot;??_);_(@_)"/>
    <numFmt numFmtId="175" formatCode="_(* #,##0_);_(* \(#,##0\);_(* &quot;-&quot;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2"/>
      <name val="Times New Roman"/>
      <family val="1"/>
    </font>
    <font>
      <sz val="10"/>
      <color rgb="FFFF0000"/>
      <name val="Times New Roman"/>
      <family val="1"/>
    </font>
    <font>
      <b/>
      <i/>
      <sz val="14"/>
      <name val="Times New Roman"/>
      <family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i/>
      <sz val="10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9" fontId="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76">
    <xf numFmtId="0" fontId="0" fillId="0" borderId="0" xfId="0"/>
    <xf numFmtId="0" fontId="3" fillId="0" borderId="0" xfId="0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10" fillId="0" borderId="0" xfId="0" applyFont="1"/>
    <xf numFmtId="0" fontId="12" fillId="0" borderId="0" xfId="0" applyFont="1"/>
    <xf numFmtId="43" fontId="10" fillId="0" borderId="0" xfId="0" applyNumberFormat="1" applyFont="1"/>
    <xf numFmtId="0" fontId="9" fillId="0" borderId="0" xfId="14" applyFont="1"/>
    <xf numFmtId="0" fontId="11" fillId="0" borderId="0" xfId="0" applyFont="1"/>
    <xf numFmtId="0" fontId="10" fillId="0" borderId="11" xfId="14" applyFont="1" applyBorder="1"/>
    <xf numFmtId="0" fontId="10" fillId="0" borderId="0" xfId="14" applyFont="1"/>
    <xf numFmtId="165" fontId="10" fillId="0" borderId="2" xfId="1" applyNumberFormat="1" applyFont="1" applyBorder="1" applyAlignment="1">
      <alignment horizontal="center"/>
    </xf>
    <xf numFmtId="0" fontId="10" fillId="0" borderId="13" xfId="14" applyFont="1" applyBorder="1"/>
    <xf numFmtId="0" fontId="10" fillId="0" borderId="2" xfId="14" applyFont="1" applyBorder="1"/>
    <xf numFmtId="165" fontId="10" fillId="0" borderId="0" xfId="0" applyNumberFormat="1" applyFont="1"/>
    <xf numFmtId="0" fontId="9" fillId="0" borderId="0" xfId="0" applyFont="1"/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2" xfId="0" applyFont="1" applyBorder="1" applyAlignment="1">
      <alignment horizontal="center"/>
    </xf>
    <xf numFmtId="0" fontId="10" fillId="0" borderId="11" xfId="0" applyFont="1" applyBorder="1"/>
    <xf numFmtId="0" fontId="16" fillId="2" borderId="11" xfId="0" applyFont="1" applyFill="1" applyBorder="1"/>
    <xf numFmtId="0" fontId="17" fillId="2" borderId="0" xfId="0" applyFont="1" applyFill="1"/>
    <xf numFmtId="0" fontId="17" fillId="2" borderId="12" xfId="0" applyFont="1" applyFill="1" applyBorder="1"/>
    <xf numFmtId="0" fontId="10" fillId="0" borderId="16" xfId="0" applyFont="1" applyBorder="1"/>
    <xf numFmtId="0" fontId="17" fillId="2" borderId="0" xfId="1" applyNumberFormat="1" applyFont="1" applyFill="1" applyBorder="1" applyAlignment="1">
      <alignment horizontal="center"/>
    </xf>
    <xf numFmtId="0" fontId="17" fillId="2" borderId="12" xfId="1" applyNumberFormat="1" applyFont="1" applyFill="1" applyBorder="1" applyAlignment="1">
      <alignment horizontal="center"/>
    </xf>
    <xf numFmtId="0" fontId="10" fillId="0" borderId="19" xfId="0" applyFont="1" applyBorder="1"/>
    <xf numFmtId="0" fontId="10" fillId="0" borderId="19" xfId="0" applyFont="1" applyBorder="1" applyAlignment="1">
      <alignment horizontal="center"/>
    </xf>
    <xf numFmtId="43" fontId="10" fillId="0" borderId="19" xfId="1" applyFont="1" applyFill="1" applyBorder="1" applyAlignment="1">
      <alignment horizontal="center"/>
    </xf>
    <xf numFmtId="0" fontId="10" fillId="0" borderId="19" xfId="0" quotePrefix="1" applyFont="1" applyBorder="1" applyAlignment="1">
      <alignment horizontal="left"/>
    </xf>
    <xf numFmtId="0" fontId="16" fillId="3" borderId="30" xfId="0" applyFont="1" applyFill="1" applyBorder="1"/>
    <xf numFmtId="43" fontId="10" fillId="3" borderId="30" xfId="1" applyFont="1" applyFill="1" applyBorder="1" applyAlignment="1">
      <alignment horizontal="center"/>
    </xf>
    <xf numFmtId="0" fontId="10" fillId="0" borderId="33" xfId="0" applyFont="1" applyBorder="1"/>
    <xf numFmtId="43" fontId="10" fillId="0" borderId="32" xfId="1" applyFont="1" applyBorder="1" applyAlignment="1">
      <alignment horizontal="center"/>
    </xf>
    <xf numFmtId="43" fontId="10" fillId="0" borderId="21" xfId="1" applyFont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43" fontId="10" fillId="0" borderId="19" xfId="0" applyNumberFormat="1" applyFont="1" applyBorder="1"/>
    <xf numFmtId="165" fontId="10" fillId="0" borderId="1" xfId="1" applyNumberFormat="1" applyFont="1" applyBorder="1" applyAlignment="1">
      <alignment horizontal="center"/>
    </xf>
    <xf numFmtId="0" fontId="10" fillId="0" borderId="0" xfId="0" applyFont="1" applyAlignment="1">
      <alignment vertical="top"/>
    </xf>
    <xf numFmtId="165" fontId="10" fillId="0" borderId="19" xfId="1" applyNumberFormat="1" applyFont="1" applyFill="1" applyBorder="1" applyAlignment="1">
      <alignment horizontal="center"/>
    </xf>
    <xf numFmtId="165" fontId="10" fillId="0" borderId="19" xfId="1" applyNumberFormat="1" applyFont="1" applyFill="1" applyBorder="1" applyAlignment="1">
      <alignment vertical="center"/>
    </xf>
    <xf numFmtId="165" fontId="10" fillId="0" borderId="19" xfId="1" applyNumberFormat="1" applyFont="1" applyBorder="1"/>
    <xf numFmtId="165" fontId="10" fillId="0" borderId="19" xfId="1" applyNumberFormat="1" applyFont="1" applyBorder="1" applyAlignment="1">
      <alignment horizontal="center"/>
    </xf>
    <xf numFmtId="165" fontId="10" fillId="0" borderId="0" xfId="1" applyNumberFormat="1" applyFont="1" applyBorder="1"/>
    <xf numFmtId="165" fontId="10" fillId="0" borderId="2" xfId="1" applyNumberFormat="1" applyFont="1" applyBorder="1"/>
    <xf numFmtId="165" fontId="10" fillId="0" borderId="19" xfId="0" applyNumberFormat="1" applyFont="1" applyBorder="1"/>
    <xf numFmtId="165" fontId="10" fillId="0" borderId="0" xfId="1" applyNumberFormat="1" applyFont="1" applyFill="1" applyBorder="1" applyAlignment="1">
      <alignment horizontal="center" vertical="top"/>
    </xf>
    <xf numFmtId="0" fontId="19" fillId="4" borderId="0" xfId="0" applyFont="1" applyFill="1"/>
    <xf numFmtId="165" fontId="20" fillId="0" borderId="0" xfId="1" applyNumberFormat="1" applyFont="1" applyBorder="1" applyAlignment="1">
      <alignment horizontal="center" vertical="top"/>
    </xf>
    <xf numFmtId="165" fontId="10" fillId="0" borderId="0" xfId="1" applyNumberFormat="1" applyFont="1" applyAlignment="1">
      <alignment horizontal="center"/>
    </xf>
    <xf numFmtId="165" fontId="9" fillId="0" borderId="26" xfId="1" applyNumberFormat="1" applyFont="1" applyFill="1" applyBorder="1" applyAlignment="1">
      <alignment horizontal="center"/>
    </xf>
    <xf numFmtId="165" fontId="10" fillId="0" borderId="11" xfId="0" applyNumberFormat="1" applyFont="1" applyBorder="1"/>
    <xf numFmtId="165" fontId="10" fillId="0" borderId="32" xfId="1" applyNumberFormat="1" applyFont="1" applyFill="1" applyBorder="1" applyAlignment="1">
      <alignment horizontal="center"/>
    </xf>
    <xf numFmtId="165" fontId="10" fillId="0" borderId="17" xfId="1" applyNumberFormat="1" applyFont="1" applyBorder="1" applyAlignment="1"/>
    <xf numFmtId="166" fontId="10" fillId="0" borderId="0" xfId="0" applyNumberFormat="1" applyFont="1"/>
    <xf numFmtId="0" fontId="9" fillId="0" borderId="11" xfId="0" applyFont="1" applyBorder="1" applyAlignment="1">
      <alignment vertical="top"/>
    </xf>
    <xf numFmtId="165" fontId="9" fillId="5" borderId="0" xfId="0" applyNumberFormat="1" applyFont="1" applyFill="1" applyAlignment="1">
      <alignment horizontal="center" vertical="top"/>
    </xf>
    <xf numFmtId="0" fontId="10" fillId="5" borderId="0" xfId="0" applyFont="1" applyFill="1" applyAlignment="1">
      <alignment horizontal="left" vertical="top"/>
    </xf>
    <xf numFmtId="165" fontId="9" fillId="0" borderId="0" xfId="0" applyNumberFormat="1" applyFont="1" applyAlignment="1">
      <alignment horizontal="center" vertical="top"/>
    </xf>
    <xf numFmtId="0" fontId="10" fillId="0" borderId="11" xfId="0" applyFont="1" applyBorder="1" applyAlignment="1">
      <alignment horizontal="left" vertical="top" indent="1"/>
    </xf>
    <xf numFmtId="0" fontId="10" fillId="0" borderId="0" xfId="0" applyFont="1" applyAlignment="1">
      <alignment horizontal="center" vertical="top"/>
    </xf>
    <xf numFmtId="0" fontId="10" fillId="0" borderId="11" xfId="0" applyFont="1" applyBorder="1" applyAlignment="1">
      <alignment vertical="top"/>
    </xf>
    <xf numFmtId="0" fontId="11" fillId="0" borderId="11" xfId="0" applyFont="1" applyBorder="1" applyAlignment="1">
      <alignment horizontal="left" vertical="top" wrapText="1"/>
    </xf>
    <xf numFmtId="165" fontId="3" fillId="0" borderId="0" xfId="1" applyNumberFormat="1" applyFont="1"/>
    <xf numFmtId="0" fontId="10" fillId="0" borderId="11" xfId="0" applyFont="1" applyBorder="1" applyAlignment="1">
      <alignment horizontal="left" vertical="center" wrapText="1"/>
    </xf>
    <xf numFmtId="165" fontId="10" fillId="0" borderId="31" xfId="1" applyNumberFormat="1" applyFont="1" applyBorder="1" applyAlignment="1">
      <alignment horizontal="center" vertical="top"/>
    </xf>
    <xf numFmtId="165" fontId="10" fillId="0" borderId="40" xfId="1" applyNumberFormat="1" applyFont="1" applyBorder="1" applyAlignment="1">
      <alignment horizontal="center" vertical="top"/>
    </xf>
    <xf numFmtId="165" fontId="10" fillId="0" borderId="0" xfId="0" applyNumberFormat="1" applyFont="1" applyAlignment="1">
      <alignment vertical="top"/>
    </xf>
    <xf numFmtId="0" fontId="9" fillId="0" borderId="7" xfId="0" applyFont="1" applyBorder="1" applyAlignment="1">
      <alignment horizontal="center" vertical="top" wrapText="1"/>
    </xf>
    <xf numFmtId="0" fontId="10" fillId="0" borderId="22" xfId="0" applyFont="1" applyBorder="1" applyAlignment="1">
      <alignment vertical="top"/>
    </xf>
    <xf numFmtId="165" fontId="10" fillId="0" borderId="11" xfId="1" applyNumberFormat="1" applyFont="1" applyBorder="1" applyAlignment="1">
      <alignment horizontal="center" vertical="top"/>
    </xf>
    <xf numFmtId="0" fontId="9" fillId="0" borderId="25" xfId="0" applyFont="1" applyBorder="1" applyAlignment="1">
      <alignment horizontal="left" vertical="top"/>
    </xf>
    <xf numFmtId="0" fontId="9" fillId="0" borderId="24" xfId="0" applyFont="1" applyBorder="1" applyAlignment="1">
      <alignment horizontal="center" vertical="top" wrapText="1"/>
    </xf>
    <xf numFmtId="165" fontId="10" fillId="0" borderId="22" xfId="1" applyNumberFormat="1" applyFont="1" applyFill="1" applyBorder="1" applyAlignment="1">
      <alignment horizontal="center" vertical="top"/>
    </xf>
    <xf numFmtId="165" fontId="10" fillId="0" borderId="11" xfId="1" applyNumberFormat="1" applyFont="1" applyFill="1" applyBorder="1" applyAlignment="1">
      <alignment horizontal="center" vertical="top"/>
    </xf>
    <xf numFmtId="9" fontId="10" fillId="0" borderId="2" xfId="28" applyFont="1" applyBorder="1"/>
    <xf numFmtId="165" fontId="11" fillId="6" borderId="3" xfId="1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right" vertical="top" wrapText="1"/>
    </xf>
    <xf numFmtId="165" fontId="11" fillId="0" borderId="35" xfId="1" applyNumberFormat="1" applyFont="1" applyFill="1" applyBorder="1" applyAlignment="1">
      <alignment horizontal="center" vertical="top"/>
    </xf>
    <xf numFmtId="0" fontId="22" fillId="0" borderId="11" xfId="0" applyFont="1" applyBorder="1" applyAlignment="1">
      <alignment horizontal="right" vertical="top" wrapText="1"/>
    </xf>
    <xf numFmtId="165" fontId="10" fillId="0" borderId="0" xfId="1" applyNumberFormat="1" applyFont="1" applyBorder="1" applyAlignment="1">
      <alignment vertical="top"/>
    </xf>
    <xf numFmtId="0" fontId="9" fillId="0" borderId="0" xfId="14" quotePrefix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5" fontId="10" fillId="0" borderId="43" xfId="1" applyNumberFormat="1" applyFont="1" applyBorder="1" applyAlignment="1">
      <alignment horizontal="center" vertical="top"/>
    </xf>
    <xf numFmtId="165" fontId="10" fillId="0" borderId="41" xfId="1" applyNumberFormat="1" applyFont="1" applyBorder="1" applyAlignment="1">
      <alignment horizontal="center" vertical="top"/>
    </xf>
    <xf numFmtId="165" fontId="10" fillId="0" borderId="0" xfId="1" applyNumberFormat="1" applyFont="1" applyBorder="1" applyAlignment="1">
      <alignment horizontal="center" vertical="top"/>
    </xf>
    <xf numFmtId="165" fontId="10" fillId="0" borderId="42" xfId="1" applyNumberFormat="1" applyFont="1" applyBorder="1" applyAlignment="1">
      <alignment horizontal="center" vertical="top"/>
    </xf>
    <xf numFmtId="9" fontId="9" fillId="0" borderId="2" xfId="28" applyFont="1" applyBorder="1"/>
    <xf numFmtId="9" fontId="9" fillId="0" borderId="45" xfId="28" applyFont="1" applyBorder="1"/>
    <xf numFmtId="0" fontId="9" fillId="0" borderId="0" xfId="0" applyFont="1" applyAlignment="1">
      <alignment horizontal="center" vertical="top" wrapText="1"/>
    </xf>
    <xf numFmtId="15" fontId="9" fillId="0" borderId="0" xfId="0" applyNumberFormat="1" applyFont="1" applyAlignment="1">
      <alignment vertical="top" wrapText="1"/>
    </xf>
    <xf numFmtId="165" fontId="9" fillId="0" borderId="0" xfId="1" applyNumberFormat="1" applyFont="1" applyBorder="1" applyAlignment="1">
      <alignment horizontal="left" vertical="top"/>
    </xf>
    <xf numFmtId="165" fontId="9" fillId="0" borderId="0" xfId="1" applyNumberFormat="1" applyFont="1" applyFill="1" applyBorder="1" applyAlignment="1">
      <alignment horizontal="left" vertical="top"/>
    </xf>
    <xf numFmtId="0" fontId="9" fillId="0" borderId="24" xfId="0" applyFont="1" applyBorder="1" applyAlignment="1">
      <alignment vertical="top" wrapText="1"/>
    </xf>
    <xf numFmtId="165" fontId="21" fillId="0" borderId="0" xfId="0" applyNumberFormat="1" applyFont="1"/>
    <xf numFmtId="0" fontId="18" fillId="4" borderId="0" xfId="0" applyFont="1" applyFill="1"/>
    <xf numFmtId="0" fontId="10" fillId="0" borderId="20" xfId="0" applyFont="1" applyBorder="1"/>
    <xf numFmtId="0" fontId="18" fillId="4" borderId="20" xfId="0" applyFont="1" applyFill="1" applyBorder="1"/>
    <xf numFmtId="0" fontId="16" fillId="3" borderId="33" xfId="0" applyFont="1" applyFill="1" applyBorder="1"/>
    <xf numFmtId="0" fontId="10" fillId="0" borderId="15" xfId="0" applyFont="1" applyBorder="1"/>
    <xf numFmtId="0" fontId="15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0" xfId="14" applyFont="1" applyAlignment="1">
      <alignment horizontal="right"/>
    </xf>
    <xf numFmtId="165" fontId="9" fillId="0" borderId="0" xfId="1" applyNumberFormat="1" applyFont="1" applyBorder="1"/>
    <xf numFmtId="9" fontId="9" fillId="0" borderId="0" xfId="28" applyFont="1" applyBorder="1"/>
    <xf numFmtId="0" fontId="10" fillId="7" borderId="0" xfId="0" applyFont="1" applyFill="1"/>
    <xf numFmtId="2" fontId="10" fillId="0" borderId="0" xfId="0" applyNumberFormat="1" applyFont="1" applyAlignment="1">
      <alignment horizontal="center"/>
    </xf>
    <xf numFmtId="167" fontId="11" fillId="0" borderId="35" xfId="29" applyNumberFormat="1" applyFont="1" applyFill="1" applyBorder="1" applyAlignment="1">
      <alignment horizontal="center" vertical="top"/>
    </xf>
    <xf numFmtId="167" fontId="10" fillId="0" borderId="11" xfId="29" applyNumberFormat="1" applyFont="1" applyFill="1" applyBorder="1" applyAlignment="1">
      <alignment horizontal="center" vertical="top"/>
    </xf>
    <xf numFmtId="167" fontId="10" fillId="0" borderId="22" xfId="29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67" fontId="10" fillId="0" borderId="19" xfId="29" applyNumberFormat="1" applyFont="1" applyBorder="1" applyAlignment="1">
      <alignment horizontal="center"/>
    </xf>
    <xf numFmtId="167" fontId="10" fillId="0" borderId="0" xfId="29" applyNumberFormat="1" applyFont="1" applyBorder="1"/>
    <xf numFmtId="167" fontId="10" fillId="0" borderId="19" xfId="29" applyNumberFormat="1" applyFont="1" applyFill="1" applyBorder="1" applyAlignment="1">
      <alignment horizontal="center"/>
    </xf>
    <xf numFmtId="167" fontId="10" fillId="0" borderId="19" xfId="29" applyNumberFormat="1" applyFont="1" applyFill="1" applyBorder="1" applyAlignment="1">
      <alignment vertical="center"/>
    </xf>
    <xf numFmtId="167" fontId="10" fillId="0" borderId="22" xfId="29" applyNumberFormat="1" applyFont="1" applyBorder="1" applyAlignment="1">
      <alignment horizontal="center"/>
    </xf>
    <xf numFmtId="167" fontId="10" fillId="0" borderId="30" xfId="29" applyNumberFormat="1" applyFont="1" applyBorder="1" applyAlignment="1">
      <alignment horizontal="center"/>
    </xf>
    <xf numFmtId="167" fontId="10" fillId="0" borderId="25" xfId="29" applyNumberFormat="1" applyFont="1" applyBorder="1" applyAlignment="1">
      <alignment horizontal="center"/>
    </xf>
    <xf numFmtId="167" fontId="10" fillId="0" borderId="0" xfId="29" applyNumberFormat="1" applyFont="1" applyAlignment="1">
      <alignment horizontal="center"/>
    </xf>
    <xf numFmtId="167" fontId="10" fillId="0" borderId="1" xfId="29" applyNumberFormat="1" applyFont="1" applyBorder="1" applyAlignment="1">
      <alignment horizontal="center"/>
    </xf>
    <xf numFmtId="167" fontId="10" fillId="0" borderId="21" xfId="29" applyNumberFormat="1" applyFont="1" applyBorder="1" applyAlignment="1">
      <alignment horizontal="center"/>
    </xf>
    <xf numFmtId="167" fontId="10" fillId="0" borderId="0" xfId="29" applyNumberFormat="1" applyFont="1"/>
    <xf numFmtId="167" fontId="10" fillId="0" borderId="0" xfId="0" applyNumberFormat="1" applyFont="1"/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10" fillId="0" borderId="42" xfId="1" applyNumberFormat="1" applyFont="1" applyBorder="1" applyAlignment="1">
      <alignment vertical="top"/>
    </xf>
    <xf numFmtId="165" fontId="10" fillId="0" borderId="44" xfId="1" applyNumberFormat="1" applyFont="1" applyBorder="1" applyAlignment="1">
      <alignment vertical="top"/>
    </xf>
    <xf numFmtId="165" fontId="10" fillId="0" borderId="29" xfId="1" applyNumberFormat="1" applyFont="1" applyBorder="1" applyAlignment="1">
      <alignment vertical="top"/>
    </xf>
    <xf numFmtId="165" fontId="10" fillId="0" borderId="41" xfId="1" applyNumberFormat="1" applyFont="1" applyBorder="1" applyAlignment="1">
      <alignment vertical="top"/>
    </xf>
    <xf numFmtId="165" fontId="10" fillId="0" borderId="47" xfId="1" applyNumberFormat="1" applyFont="1" applyBorder="1" applyAlignment="1">
      <alignment vertical="top"/>
    </xf>
    <xf numFmtId="165" fontId="10" fillId="0" borderId="48" xfId="1" applyNumberFormat="1" applyFont="1" applyBorder="1" applyAlignment="1">
      <alignment vertical="top"/>
    </xf>
    <xf numFmtId="165" fontId="10" fillId="0" borderId="5" xfId="1" applyNumberFormat="1" applyFont="1" applyBorder="1" applyAlignment="1">
      <alignment vertical="top"/>
    </xf>
    <xf numFmtId="167" fontId="10" fillId="0" borderId="0" xfId="29" applyNumberFormat="1" applyFont="1" applyBorder="1" applyAlignment="1">
      <alignment vertical="top"/>
    </xf>
    <xf numFmtId="167" fontId="10" fillId="0" borderId="42" xfId="29" applyNumberFormat="1" applyFont="1" applyBorder="1" applyAlignment="1">
      <alignment vertical="top"/>
    </xf>
    <xf numFmtId="167" fontId="10" fillId="0" borderId="44" xfId="29" applyNumberFormat="1" applyFont="1" applyBorder="1" applyAlignment="1">
      <alignment vertical="top"/>
    </xf>
    <xf numFmtId="167" fontId="10" fillId="0" borderId="29" xfId="29" applyNumberFormat="1" applyFont="1" applyBorder="1" applyAlignment="1">
      <alignment vertical="top"/>
    </xf>
    <xf numFmtId="167" fontId="10" fillId="0" borderId="43" xfId="29" applyNumberFormat="1" applyFont="1" applyBorder="1" applyAlignment="1">
      <alignment vertical="top"/>
    </xf>
    <xf numFmtId="167" fontId="10" fillId="0" borderId="41" xfId="29" applyNumberFormat="1" applyFont="1" applyBorder="1" applyAlignment="1">
      <alignment vertical="top"/>
    </xf>
    <xf numFmtId="167" fontId="10" fillId="0" borderId="47" xfId="29" applyNumberFormat="1" applyFont="1" applyBorder="1" applyAlignment="1">
      <alignment vertical="top"/>
    </xf>
    <xf numFmtId="167" fontId="10" fillId="0" borderId="48" xfId="29" applyNumberFormat="1" applyFont="1" applyBorder="1" applyAlignment="1">
      <alignment vertical="top"/>
    </xf>
    <xf numFmtId="167" fontId="10" fillId="0" borderId="5" xfId="29" applyNumberFormat="1" applyFont="1" applyBorder="1" applyAlignment="1">
      <alignment vertical="top"/>
    </xf>
    <xf numFmtId="0" fontId="11" fillId="0" borderId="11" xfId="0" applyFont="1" applyBorder="1" applyAlignment="1">
      <alignment horizontal="left" vertical="top" indent="1"/>
    </xf>
    <xf numFmtId="165" fontId="11" fillId="0" borderId="43" xfId="1" applyNumberFormat="1" applyFont="1" applyBorder="1" applyAlignment="1">
      <alignment vertical="top"/>
    </xf>
    <xf numFmtId="165" fontId="11" fillId="0" borderId="0" xfId="1" applyNumberFormat="1" applyFont="1" applyBorder="1" applyAlignment="1">
      <alignment vertical="top"/>
    </xf>
    <xf numFmtId="165" fontId="11" fillId="0" borderId="41" xfId="1" applyNumberFormat="1" applyFont="1" applyBorder="1" applyAlignment="1">
      <alignment vertical="top"/>
    </xf>
    <xf numFmtId="44" fontId="11" fillId="0" borderId="43" xfId="29" applyFont="1" applyBorder="1" applyAlignment="1">
      <alignment vertical="top"/>
    </xf>
    <xf numFmtId="44" fontId="11" fillId="0" borderId="0" xfId="29" applyFont="1" applyBorder="1" applyAlignment="1">
      <alignment vertical="top"/>
    </xf>
    <xf numFmtId="44" fontId="11" fillId="0" borderId="41" xfId="29" applyFont="1" applyBorder="1" applyAlignment="1">
      <alignment vertical="top"/>
    </xf>
    <xf numFmtId="2" fontId="11" fillId="0" borderId="0" xfId="0" applyNumberFormat="1" applyFont="1" applyAlignment="1">
      <alignment horizontal="center"/>
    </xf>
    <xf numFmtId="167" fontId="11" fillId="0" borderId="0" xfId="0" applyNumberFormat="1" applyFont="1"/>
    <xf numFmtId="165" fontId="11" fillId="0" borderId="0" xfId="1" applyNumberFormat="1" applyFont="1" applyFill="1" applyBorder="1" applyAlignment="1">
      <alignment horizontal="center" vertical="top"/>
    </xf>
    <xf numFmtId="167" fontId="11" fillId="0" borderId="0" xfId="29" applyNumberFormat="1" applyFont="1" applyFill="1" applyBorder="1" applyAlignment="1">
      <alignment horizontal="center" vertical="top"/>
    </xf>
    <xf numFmtId="0" fontId="7" fillId="0" borderId="11" xfId="0" applyFont="1" applyBorder="1" applyAlignment="1">
      <alignment horizontal="left" vertical="top" wrapText="1"/>
    </xf>
    <xf numFmtId="0" fontId="9" fillId="7" borderId="11" xfId="0" applyFont="1" applyFill="1" applyBorder="1" applyAlignment="1">
      <alignment vertical="top"/>
    </xf>
    <xf numFmtId="0" fontId="10" fillId="7" borderId="11" xfId="0" applyFont="1" applyFill="1" applyBorder="1" applyAlignment="1">
      <alignment horizontal="left" vertical="top" indent="1"/>
    </xf>
    <xf numFmtId="0" fontId="11" fillId="7" borderId="11" xfId="0" applyFont="1" applyFill="1" applyBorder="1" applyAlignment="1">
      <alignment horizontal="left" vertical="top" indent="1"/>
    </xf>
    <xf numFmtId="165" fontId="10" fillId="7" borderId="43" xfId="1" applyNumberFormat="1" applyFont="1" applyFill="1" applyBorder="1" applyAlignment="1">
      <alignment vertical="top"/>
    </xf>
    <xf numFmtId="165" fontId="10" fillId="7" borderId="47" xfId="1" applyNumberFormat="1" applyFont="1" applyFill="1" applyBorder="1" applyAlignment="1">
      <alignment vertical="top"/>
    </xf>
    <xf numFmtId="165" fontId="11" fillId="7" borderId="43" xfId="1" applyNumberFormat="1" applyFont="1" applyFill="1" applyBorder="1" applyAlignment="1">
      <alignment vertical="top"/>
    </xf>
    <xf numFmtId="165" fontId="10" fillId="7" borderId="0" xfId="1" applyNumberFormat="1" applyFont="1" applyFill="1" applyBorder="1" applyAlignment="1">
      <alignment vertical="top"/>
    </xf>
    <xf numFmtId="165" fontId="10" fillId="7" borderId="41" xfId="1" applyNumberFormat="1" applyFont="1" applyFill="1" applyBorder="1" applyAlignment="1">
      <alignment vertical="top"/>
    </xf>
    <xf numFmtId="167" fontId="10" fillId="7" borderId="43" xfId="29" applyNumberFormat="1" applyFont="1" applyFill="1" applyBorder="1" applyAlignment="1">
      <alignment vertical="top"/>
    </xf>
    <xf numFmtId="167" fontId="10" fillId="7" borderId="0" xfId="29" applyNumberFormat="1" applyFont="1" applyFill="1" applyBorder="1" applyAlignment="1">
      <alignment vertical="top"/>
    </xf>
    <xf numFmtId="167" fontId="10" fillId="7" borderId="41" xfId="29" applyNumberFormat="1" applyFont="1" applyFill="1" applyBorder="1" applyAlignment="1">
      <alignment vertical="top"/>
    </xf>
    <xf numFmtId="165" fontId="10" fillId="7" borderId="48" xfId="1" applyNumberFormat="1" applyFont="1" applyFill="1" applyBorder="1" applyAlignment="1">
      <alignment vertical="top"/>
    </xf>
    <xf numFmtId="165" fontId="10" fillId="7" borderId="5" xfId="1" applyNumberFormat="1" applyFont="1" applyFill="1" applyBorder="1" applyAlignment="1">
      <alignment vertical="top"/>
    </xf>
    <xf numFmtId="167" fontId="10" fillId="7" borderId="47" xfId="29" applyNumberFormat="1" applyFont="1" applyFill="1" applyBorder="1" applyAlignment="1">
      <alignment vertical="top"/>
    </xf>
    <xf numFmtId="167" fontId="10" fillId="7" borderId="48" xfId="29" applyNumberFormat="1" applyFont="1" applyFill="1" applyBorder="1" applyAlignment="1">
      <alignment vertical="top"/>
    </xf>
    <xf numFmtId="167" fontId="10" fillId="7" borderId="5" xfId="29" applyNumberFormat="1" applyFont="1" applyFill="1" applyBorder="1" applyAlignment="1">
      <alignment vertical="top"/>
    </xf>
    <xf numFmtId="165" fontId="11" fillId="7" borderId="0" xfId="1" applyNumberFormat="1" applyFont="1" applyFill="1" applyBorder="1" applyAlignment="1">
      <alignment vertical="top"/>
    </xf>
    <xf numFmtId="165" fontId="11" fillId="7" borderId="41" xfId="1" applyNumberFormat="1" applyFont="1" applyFill="1" applyBorder="1" applyAlignment="1">
      <alignment vertical="top"/>
    </xf>
    <xf numFmtId="44" fontId="11" fillId="7" borderId="43" xfId="29" applyFont="1" applyFill="1" applyBorder="1" applyAlignment="1">
      <alignment vertical="top"/>
    </xf>
    <xf numFmtId="44" fontId="11" fillId="7" borderId="0" xfId="29" applyFont="1" applyFill="1" applyBorder="1" applyAlignment="1">
      <alignment vertical="top"/>
    </xf>
    <xf numFmtId="44" fontId="11" fillId="7" borderId="41" xfId="29" applyFont="1" applyFill="1" applyBorder="1" applyAlignment="1">
      <alignment vertical="top"/>
    </xf>
    <xf numFmtId="0" fontId="10" fillId="7" borderId="0" xfId="0" applyFont="1" applyFill="1" applyAlignment="1">
      <alignment horizontal="center" vertical="top"/>
    </xf>
    <xf numFmtId="0" fontId="11" fillId="7" borderId="11" xfId="0" applyFont="1" applyFill="1" applyBorder="1" applyAlignment="1">
      <alignment horizontal="left" vertical="top" wrapText="1"/>
    </xf>
    <xf numFmtId="0" fontId="10" fillId="7" borderId="11" xfId="0" applyFont="1" applyFill="1" applyBorder="1" applyAlignment="1">
      <alignment horizontal="left" vertical="center" wrapText="1"/>
    </xf>
    <xf numFmtId="165" fontId="10" fillId="7" borderId="31" xfId="1" applyNumberFormat="1" applyFont="1" applyFill="1" applyBorder="1" applyAlignment="1">
      <alignment horizontal="center" vertical="top"/>
    </xf>
    <xf numFmtId="165" fontId="10" fillId="7" borderId="40" xfId="1" applyNumberFormat="1" applyFont="1" applyFill="1" applyBorder="1" applyAlignment="1">
      <alignment horizontal="center" vertical="top"/>
    </xf>
    <xf numFmtId="167" fontId="10" fillId="7" borderId="40" xfId="20" applyNumberFormat="1" applyFont="1" applyFill="1" applyBorder="1" applyAlignment="1">
      <alignment horizontal="center" vertical="top"/>
    </xf>
    <xf numFmtId="0" fontId="10" fillId="7" borderId="0" xfId="0" applyFont="1" applyFill="1" applyAlignment="1">
      <alignment horizontal="left" vertical="center" wrapText="1"/>
    </xf>
    <xf numFmtId="165" fontId="10" fillId="7" borderId="0" xfId="1" applyNumberFormat="1" applyFont="1" applyFill="1" applyBorder="1" applyAlignment="1">
      <alignment horizontal="center" vertical="top"/>
    </xf>
    <xf numFmtId="0" fontId="11" fillId="7" borderId="0" xfId="0" applyFont="1" applyFill="1" applyAlignment="1">
      <alignment horizontal="right" vertical="top" wrapText="1"/>
    </xf>
    <xf numFmtId="165" fontId="11" fillId="7" borderId="3" xfId="1" applyNumberFormat="1" applyFont="1" applyFill="1" applyBorder="1" applyAlignment="1">
      <alignment horizontal="center" vertical="top"/>
    </xf>
    <xf numFmtId="165" fontId="11" fillId="7" borderId="0" xfId="1" applyNumberFormat="1" applyFont="1" applyFill="1" applyBorder="1" applyAlignment="1">
      <alignment horizontal="center" vertical="top"/>
    </xf>
    <xf numFmtId="167" fontId="11" fillId="7" borderId="0" xfId="29" applyNumberFormat="1" applyFont="1" applyFill="1" applyBorder="1" applyAlignment="1">
      <alignment horizontal="center" vertical="top"/>
    </xf>
    <xf numFmtId="0" fontId="9" fillId="7" borderId="7" xfId="0" applyFont="1" applyFill="1" applyBorder="1" applyAlignment="1">
      <alignment horizontal="center" vertical="top" wrapText="1"/>
    </xf>
    <xf numFmtId="0" fontId="9" fillId="7" borderId="24" xfId="0" applyFont="1" applyFill="1" applyBorder="1" applyAlignment="1">
      <alignment horizontal="center" vertical="top" wrapText="1"/>
    </xf>
    <xf numFmtId="0" fontId="10" fillId="7" borderId="22" xfId="0" applyFont="1" applyFill="1" applyBorder="1" applyAlignment="1">
      <alignment vertical="top"/>
    </xf>
    <xf numFmtId="0" fontId="9" fillId="7" borderId="25" xfId="0" applyFont="1" applyFill="1" applyBorder="1" applyAlignment="1">
      <alignment horizontal="left" vertical="top"/>
    </xf>
    <xf numFmtId="167" fontId="10" fillId="7" borderId="31" xfId="20" applyNumberFormat="1" applyFont="1" applyFill="1" applyBorder="1" applyAlignment="1">
      <alignment horizontal="center" vertical="top"/>
    </xf>
    <xf numFmtId="167" fontId="10" fillId="7" borderId="40" xfId="29" applyNumberFormat="1" applyFont="1" applyFill="1" applyBorder="1" applyAlignment="1">
      <alignment horizontal="center" vertical="top"/>
    </xf>
    <xf numFmtId="167" fontId="10" fillId="7" borderId="49" xfId="20" applyNumberFormat="1" applyFont="1" applyFill="1" applyBorder="1" applyAlignment="1">
      <alignment horizontal="center" vertical="top"/>
    </xf>
    <xf numFmtId="167" fontId="10" fillId="7" borderId="49" xfId="29" applyNumberFormat="1" applyFont="1" applyFill="1" applyBorder="1" applyAlignment="1">
      <alignment horizontal="center" vertical="top"/>
    </xf>
    <xf numFmtId="167" fontId="11" fillId="7" borderId="2" xfId="29" applyNumberFormat="1" applyFont="1" applyFill="1" applyBorder="1" applyAlignment="1">
      <alignment horizontal="center" vertical="top"/>
    </xf>
    <xf numFmtId="0" fontId="10" fillId="4" borderId="0" xfId="0" applyFont="1" applyFill="1"/>
    <xf numFmtId="165" fontId="10" fillId="0" borderId="49" xfId="1" applyNumberFormat="1" applyFont="1" applyBorder="1" applyAlignment="1">
      <alignment horizontal="center" vertical="top"/>
    </xf>
    <xf numFmtId="165" fontId="10" fillId="0" borderId="29" xfId="1" applyNumberFormat="1" applyFont="1" applyBorder="1" applyAlignment="1">
      <alignment horizontal="center" vertical="top"/>
    </xf>
    <xf numFmtId="165" fontId="10" fillId="4" borderId="0" xfId="0" applyNumberFormat="1" applyFont="1" applyFill="1"/>
    <xf numFmtId="165" fontId="11" fillId="6" borderId="2" xfId="1" applyNumberFormat="1" applyFont="1" applyFill="1" applyBorder="1" applyAlignment="1">
      <alignment horizontal="center" vertical="top"/>
    </xf>
    <xf numFmtId="165" fontId="10" fillId="7" borderId="49" xfId="1" applyNumberFormat="1" applyFont="1" applyFill="1" applyBorder="1" applyAlignment="1">
      <alignment horizontal="center" vertical="top"/>
    </xf>
    <xf numFmtId="165" fontId="11" fillId="7" borderId="2" xfId="1" applyNumberFormat="1" applyFont="1" applyFill="1" applyBorder="1" applyAlignment="1">
      <alignment horizontal="center" vertical="top"/>
    </xf>
    <xf numFmtId="165" fontId="9" fillId="0" borderId="7" xfId="1" applyNumberFormat="1" applyFont="1" applyBorder="1" applyAlignment="1">
      <alignment horizontal="left" vertical="top"/>
    </xf>
    <xf numFmtId="165" fontId="9" fillId="0" borderId="24" xfId="1" applyNumberFormat="1" applyFont="1" applyBorder="1" applyAlignment="1">
      <alignment horizontal="left" vertical="top"/>
    </xf>
    <xf numFmtId="167" fontId="9" fillId="0" borderId="7" xfId="29" applyNumberFormat="1" applyFont="1" applyFill="1" applyBorder="1" applyAlignment="1">
      <alignment horizontal="left" vertical="top"/>
    </xf>
    <xf numFmtId="167" fontId="9" fillId="0" borderId="24" xfId="29" applyNumberFormat="1" applyFont="1" applyFill="1" applyBorder="1" applyAlignment="1">
      <alignment horizontal="left" vertical="top"/>
    </xf>
    <xf numFmtId="43" fontId="10" fillId="4" borderId="0" xfId="1" applyFont="1" applyFill="1" applyBorder="1"/>
    <xf numFmtId="165" fontId="10" fillId="4" borderId="2" xfId="0" applyNumberFormat="1" applyFont="1" applyFill="1" applyBorder="1"/>
    <xf numFmtId="43" fontId="10" fillId="4" borderId="35" xfId="1" applyFont="1" applyFill="1" applyBorder="1"/>
    <xf numFmtId="43" fontId="10" fillId="4" borderId="31" xfId="1" applyFont="1" applyFill="1" applyBorder="1"/>
    <xf numFmtId="43" fontId="10" fillId="4" borderId="40" xfId="1" applyFont="1" applyFill="1" applyBorder="1"/>
    <xf numFmtId="43" fontId="10" fillId="4" borderId="49" xfId="1" applyFont="1" applyFill="1" applyBorder="1"/>
    <xf numFmtId="0" fontId="10" fillId="4" borderId="39" xfId="0" applyFont="1" applyFill="1" applyBorder="1"/>
    <xf numFmtId="165" fontId="10" fillId="4" borderId="31" xfId="0" applyNumberFormat="1" applyFont="1" applyFill="1" applyBorder="1"/>
    <xf numFmtId="165" fontId="10" fillId="4" borderId="40" xfId="0" applyNumberFormat="1" applyFont="1" applyFill="1" applyBorder="1"/>
    <xf numFmtId="165" fontId="11" fillId="4" borderId="40" xfId="0" applyNumberFormat="1" applyFont="1" applyFill="1" applyBorder="1"/>
    <xf numFmtId="165" fontId="10" fillId="4" borderId="49" xfId="0" applyNumberFormat="1" applyFont="1" applyFill="1" applyBorder="1"/>
    <xf numFmtId="43" fontId="10" fillId="4" borderId="0" xfId="0" applyNumberFormat="1" applyFont="1" applyFill="1"/>
    <xf numFmtId="15" fontId="9" fillId="4" borderId="0" xfId="0" applyNumberFormat="1" applyFont="1" applyFill="1" applyAlignment="1">
      <alignment vertical="top" wrapText="1"/>
    </xf>
    <xf numFmtId="165" fontId="10" fillId="4" borderId="0" xfId="1" applyNumberFormat="1" applyFont="1" applyFill="1" applyBorder="1" applyAlignment="1">
      <alignment horizontal="center" vertical="top"/>
    </xf>
    <xf numFmtId="165" fontId="9" fillId="4" borderId="0" xfId="1" applyNumberFormat="1" applyFont="1" applyFill="1" applyBorder="1" applyAlignment="1">
      <alignment horizontal="left" vertical="top"/>
    </xf>
    <xf numFmtId="0" fontId="10" fillId="4" borderId="7" xfId="0" applyFont="1" applyFill="1" applyBorder="1" applyAlignment="1">
      <alignment vertical="top"/>
    </xf>
    <xf numFmtId="0" fontId="9" fillId="4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vertical="top"/>
    </xf>
    <xf numFmtId="0" fontId="11" fillId="7" borderId="0" xfId="0" applyFont="1" applyFill="1" applyAlignment="1">
      <alignment horizontal="left" vertical="top" wrapText="1"/>
    </xf>
    <xf numFmtId="165" fontId="10" fillId="7" borderId="44" xfId="1" applyNumberFormat="1" applyFont="1" applyFill="1" applyBorder="1" applyAlignment="1">
      <alignment horizontal="center" vertical="top"/>
    </xf>
    <xf numFmtId="0" fontId="9" fillId="7" borderId="7" xfId="0" applyFont="1" applyFill="1" applyBorder="1" applyAlignment="1">
      <alignment vertical="top"/>
    </xf>
    <xf numFmtId="165" fontId="9" fillId="7" borderId="39" xfId="0" applyNumberFormat="1" applyFont="1" applyFill="1" applyBorder="1" applyAlignment="1">
      <alignment horizontal="center" vertical="top"/>
    </xf>
    <xf numFmtId="0" fontId="10" fillId="7" borderId="39" xfId="0" applyFont="1" applyFill="1" applyBorder="1"/>
    <xf numFmtId="167" fontId="9" fillId="7" borderId="39" xfId="29" applyNumberFormat="1" applyFont="1" applyFill="1" applyBorder="1" applyAlignment="1">
      <alignment horizontal="center" vertical="top"/>
    </xf>
    <xf numFmtId="167" fontId="9" fillId="7" borderId="38" xfId="29" applyNumberFormat="1" applyFont="1" applyFill="1" applyBorder="1" applyAlignment="1">
      <alignment horizontal="center" vertical="top"/>
    </xf>
    <xf numFmtId="165" fontId="10" fillId="0" borderId="2" xfId="28" applyNumberFormat="1" applyFont="1" applyBorder="1"/>
    <xf numFmtId="0" fontId="24" fillId="0" borderId="0" xfId="14" applyFont="1" applyAlignment="1">
      <alignment horizontal="center" vertical="center"/>
    </xf>
    <xf numFmtId="0" fontId="25" fillId="0" borderId="0" xfId="14" applyFont="1" applyAlignment="1">
      <alignment vertical="center"/>
    </xf>
    <xf numFmtId="44" fontId="25" fillId="0" borderId="0" xfId="20" applyFont="1" applyFill="1" applyBorder="1" applyAlignment="1">
      <alignment vertical="center"/>
    </xf>
    <xf numFmtId="44" fontId="24" fillId="8" borderId="24" xfId="20" applyFont="1" applyFill="1" applyBorder="1" applyAlignment="1">
      <alignment vertical="center"/>
    </xf>
    <xf numFmtId="0" fontId="24" fillId="0" borderId="0" xfId="14" applyFont="1" applyAlignment="1">
      <alignment vertical="center"/>
    </xf>
    <xf numFmtId="44" fontId="24" fillId="0" borderId="0" xfId="20" applyFont="1" applyFill="1" applyBorder="1" applyAlignment="1">
      <alignment vertical="center" wrapText="1"/>
    </xf>
    <xf numFmtId="43" fontId="25" fillId="0" borderId="0" xfId="3" applyFont="1" applyFill="1" applyBorder="1" applyAlignment="1">
      <alignment vertical="center"/>
    </xf>
    <xf numFmtId="44" fontId="24" fillId="0" borderId="0" xfId="20" applyFont="1" applyFill="1" applyBorder="1" applyAlignment="1">
      <alignment vertical="center"/>
    </xf>
    <xf numFmtId="0" fontId="24" fillId="0" borderId="0" xfId="14" applyFont="1" applyAlignment="1">
      <alignment horizontal="center" vertical="center" wrapText="1"/>
    </xf>
    <xf numFmtId="15" fontId="24" fillId="0" borderId="0" xfId="14" applyNumberFormat="1" applyFont="1" applyAlignment="1">
      <alignment horizontal="center"/>
    </xf>
    <xf numFmtId="0" fontId="24" fillId="0" borderId="0" xfId="14" applyFont="1" applyAlignment="1">
      <alignment horizontal="left" vertical="center" wrapText="1"/>
    </xf>
    <xf numFmtId="170" fontId="25" fillId="0" borderId="0" xfId="3" applyNumberFormat="1" applyFont="1" applyFill="1" applyBorder="1" applyAlignment="1"/>
    <xf numFmtId="0" fontId="25" fillId="0" borderId="0" xfId="14" applyFont="1" applyAlignment="1">
      <alignment horizontal="center" vertical="center" wrapText="1"/>
    </xf>
    <xf numFmtId="44" fontId="25" fillId="0" borderId="0" xfId="20" applyFont="1" applyFill="1" applyBorder="1" applyAlignment="1"/>
    <xf numFmtId="0" fontId="10" fillId="0" borderId="0" xfId="14" applyFont="1" applyAlignment="1">
      <alignment vertical="center"/>
    </xf>
    <xf numFmtId="44" fontId="10" fillId="0" borderId="0" xfId="20" applyFont="1" applyFill="1" applyAlignment="1">
      <alignment vertical="center"/>
    </xf>
    <xf numFmtId="165" fontId="10" fillId="4" borderId="11" xfId="1" applyNumberFormat="1" applyFont="1" applyFill="1" applyBorder="1" applyAlignment="1">
      <alignment horizontal="center" vertical="top"/>
    </xf>
    <xf numFmtId="165" fontId="10" fillId="4" borderId="22" xfId="1" applyNumberFormat="1" applyFont="1" applyFill="1" applyBorder="1" applyAlignment="1">
      <alignment horizontal="center" vertical="top"/>
    </xf>
    <xf numFmtId="165" fontId="9" fillId="4" borderId="15" xfId="1" applyNumberFormat="1" applyFont="1" applyFill="1" applyBorder="1" applyAlignment="1">
      <alignment horizontal="left" vertical="top"/>
    </xf>
    <xf numFmtId="165" fontId="9" fillId="4" borderId="18" xfId="1" applyNumberFormat="1" applyFont="1" applyFill="1" applyBorder="1" applyAlignment="1">
      <alignment horizontal="left" vertical="top"/>
    </xf>
    <xf numFmtId="167" fontId="10" fillId="4" borderId="11" xfId="29" applyNumberFormat="1" applyFont="1" applyFill="1" applyBorder="1" applyAlignment="1">
      <alignment horizontal="center" vertical="top"/>
    </xf>
    <xf numFmtId="167" fontId="10" fillId="4" borderId="22" xfId="29" applyNumberFormat="1" applyFont="1" applyFill="1" applyBorder="1" applyAlignment="1">
      <alignment horizontal="center" vertical="top"/>
    </xf>
    <xf numFmtId="167" fontId="9" fillId="4" borderId="15" xfId="29" applyNumberFormat="1" applyFont="1" applyFill="1" applyBorder="1" applyAlignment="1">
      <alignment horizontal="left" vertical="top"/>
    </xf>
    <xf numFmtId="167" fontId="9" fillId="4" borderId="18" xfId="29" applyNumberFormat="1" applyFont="1" applyFill="1" applyBorder="1" applyAlignment="1">
      <alignment horizontal="left" vertical="top"/>
    </xf>
    <xf numFmtId="165" fontId="10" fillId="7" borderId="40" xfId="0" applyNumberFormat="1" applyFont="1" applyFill="1" applyBorder="1"/>
    <xf numFmtId="165" fontId="11" fillId="7" borderId="40" xfId="0" applyNumberFormat="1" applyFont="1" applyFill="1" applyBorder="1"/>
    <xf numFmtId="165" fontId="10" fillId="7" borderId="49" xfId="0" applyNumberFormat="1" applyFont="1" applyFill="1" applyBorder="1"/>
    <xf numFmtId="165" fontId="11" fillId="7" borderId="0" xfId="0" applyNumberFormat="1" applyFont="1" applyFill="1"/>
    <xf numFmtId="165" fontId="10" fillId="7" borderId="0" xfId="0" applyNumberFormat="1" applyFont="1" applyFill="1"/>
    <xf numFmtId="0" fontId="9" fillId="7" borderId="7" xfId="0" applyFont="1" applyFill="1" applyBorder="1" applyAlignment="1">
      <alignment horizontal="center" vertical="top"/>
    </xf>
    <xf numFmtId="165" fontId="10" fillId="7" borderId="24" xfId="0" applyNumberFormat="1" applyFont="1" applyFill="1" applyBorder="1"/>
    <xf numFmtId="9" fontId="9" fillId="0" borderId="53" xfId="28" applyFont="1" applyBorder="1"/>
    <xf numFmtId="165" fontId="9" fillId="0" borderId="53" xfId="1" applyNumberFormat="1" applyFont="1" applyBorder="1"/>
    <xf numFmtId="9" fontId="10" fillId="0" borderId="2" xfId="28" applyFont="1" applyBorder="1" applyAlignment="1">
      <alignment wrapText="1"/>
    </xf>
    <xf numFmtId="165" fontId="14" fillId="0" borderId="2" xfId="1" applyNumberFormat="1" applyFont="1" applyBorder="1" applyAlignment="1">
      <alignment horizontal="right" wrapText="1"/>
    </xf>
    <xf numFmtId="9" fontId="9" fillId="0" borderId="2" xfId="28" applyFont="1" applyBorder="1" applyAlignment="1">
      <alignment wrapText="1"/>
    </xf>
    <xf numFmtId="165" fontId="9" fillId="0" borderId="2" xfId="1" applyNumberFormat="1" applyFont="1" applyBorder="1"/>
    <xf numFmtId="165" fontId="10" fillId="0" borderId="2" xfId="1" applyNumberFormat="1" applyFont="1" applyBorder="1" applyAlignment="1">
      <alignment horizontal="center" wrapText="1"/>
    </xf>
    <xf numFmtId="0" fontId="10" fillId="7" borderId="14" xfId="0" applyFont="1" applyFill="1" applyBorder="1" applyAlignment="1">
      <alignment horizontal="left" vertical="center" wrapText="1"/>
    </xf>
    <xf numFmtId="9" fontId="9" fillId="0" borderId="45" xfId="28" applyFont="1" applyBorder="1" applyAlignment="1">
      <alignment wrapText="1"/>
    </xf>
    <xf numFmtId="165" fontId="13" fillId="0" borderId="2" xfId="1" applyNumberFormat="1" applyFont="1" applyBorder="1" applyAlignment="1">
      <alignment horizontal="right" wrapText="1"/>
    </xf>
    <xf numFmtId="165" fontId="10" fillId="0" borderId="2" xfId="1" applyNumberFormat="1" applyFont="1" applyBorder="1" applyAlignment="1">
      <alignment horizontal="right" vertical="top"/>
    </xf>
    <xf numFmtId="165" fontId="13" fillId="0" borderId="2" xfId="1" applyNumberFormat="1" applyFont="1" applyFill="1" applyBorder="1" applyAlignment="1">
      <alignment horizontal="right" vertical="top"/>
    </xf>
    <xf numFmtId="165" fontId="14" fillId="0" borderId="2" xfId="1" applyNumberFormat="1" applyFont="1" applyBorder="1" applyAlignment="1">
      <alignment horizontal="right"/>
    </xf>
    <xf numFmtId="165" fontId="13" fillId="0" borderId="2" xfId="1" applyNumberFormat="1" applyFont="1" applyBorder="1" applyAlignment="1">
      <alignment horizontal="right"/>
    </xf>
    <xf numFmtId="165" fontId="14" fillId="0" borderId="45" xfId="1" applyNumberFormat="1" applyFont="1" applyBorder="1" applyAlignment="1">
      <alignment horizontal="right"/>
    </xf>
    <xf numFmtId="165" fontId="9" fillId="0" borderId="53" xfId="1" applyNumberFormat="1" applyFont="1" applyBorder="1" applyAlignment="1"/>
    <xf numFmtId="165" fontId="10" fillId="0" borderId="2" xfId="14" applyNumberFormat="1" applyFont="1" applyBorder="1"/>
    <xf numFmtId="0" fontId="9" fillId="0" borderId="52" xfId="14" applyFont="1" applyBorder="1" applyAlignment="1">
      <alignment horizontal="center"/>
    </xf>
    <xf numFmtId="0" fontId="14" fillId="0" borderId="18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top" wrapText="1"/>
    </xf>
    <xf numFmtId="165" fontId="10" fillId="0" borderId="19" xfId="0" quotePrefix="1" applyNumberFormat="1" applyFont="1" applyBorder="1" applyAlignment="1">
      <alignment horizontal="left"/>
    </xf>
    <xf numFmtId="44" fontId="10" fillId="0" borderId="19" xfId="29" applyFont="1" applyFill="1" applyBorder="1" applyAlignment="1">
      <alignment horizontal="center"/>
    </xf>
    <xf numFmtId="167" fontId="10" fillId="0" borderId="19" xfId="29" applyNumberFormat="1" applyFont="1" applyBorder="1"/>
    <xf numFmtId="167" fontId="10" fillId="0" borderId="17" xfId="29" applyNumberFormat="1" applyFont="1" applyBorder="1" applyAlignment="1"/>
    <xf numFmtId="167" fontId="10" fillId="0" borderId="32" xfId="29" applyNumberFormat="1" applyFont="1" applyBorder="1" applyAlignment="1">
      <alignment horizontal="center"/>
    </xf>
    <xf numFmtId="0" fontId="14" fillId="9" borderId="14" xfId="0" applyFont="1" applyFill="1" applyBorder="1" applyAlignment="1">
      <alignment horizontal="center" wrapText="1"/>
    </xf>
    <xf numFmtId="0" fontId="9" fillId="9" borderId="11" xfId="0" applyFont="1" applyFill="1" applyBorder="1" applyAlignment="1">
      <alignment vertical="top"/>
    </xf>
    <xf numFmtId="0" fontId="11" fillId="9" borderId="0" xfId="0" applyFont="1" applyFill="1" applyAlignment="1">
      <alignment horizontal="left" vertical="top" wrapText="1"/>
    </xf>
    <xf numFmtId="0" fontId="9" fillId="9" borderId="24" xfId="0" applyFont="1" applyFill="1" applyBorder="1" applyAlignment="1">
      <alignment vertical="top" wrapText="1"/>
    </xf>
    <xf numFmtId="167" fontId="10" fillId="7" borderId="31" xfId="29" applyNumberFormat="1" applyFont="1" applyFill="1" applyBorder="1" applyAlignment="1">
      <alignment horizontal="center" vertical="top"/>
    </xf>
    <xf numFmtId="165" fontId="13" fillId="0" borderId="2" xfId="1" applyNumberFormat="1" applyFont="1" applyBorder="1" applyAlignment="1">
      <alignment horizontal="right" vertical="center"/>
    </xf>
    <xf numFmtId="165" fontId="10" fillId="0" borderId="2" xfId="1" applyNumberFormat="1" applyFont="1" applyBorder="1" applyAlignment="1">
      <alignment vertical="center"/>
    </xf>
    <xf numFmtId="9" fontId="10" fillId="0" borderId="2" xfId="28" applyFont="1" applyBorder="1" applyAlignment="1">
      <alignment vertical="center"/>
    </xf>
    <xf numFmtId="165" fontId="10" fillId="0" borderId="2" xfId="28" applyNumberFormat="1" applyFont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9" fontId="10" fillId="0" borderId="2" xfId="28" applyFont="1" applyBorder="1" applyAlignment="1">
      <alignment vertical="center" wrapText="1"/>
    </xf>
    <xf numFmtId="9" fontId="10" fillId="0" borderId="13" xfId="1" applyNumberFormat="1" applyFont="1" applyBorder="1" applyAlignment="1">
      <alignment vertical="center"/>
    </xf>
    <xf numFmtId="9" fontId="10" fillId="0" borderId="13" xfId="1" applyNumberFormat="1" applyFont="1" applyBorder="1"/>
    <xf numFmtId="165" fontId="9" fillId="0" borderId="13" xfId="1" applyNumberFormat="1" applyFont="1" applyBorder="1"/>
    <xf numFmtId="165" fontId="10" fillId="0" borderId="13" xfId="1" applyNumberFormat="1" applyFont="1" applyBorder="1"/>
    <xf numFmtId="165" fontId="9" fillId="0" borderId="46" xfId="1" applyNumberFormat="1" applyFont="1" applyBorder="1"/>
    <xf numFmtId="165" fontId="9" fillId="0" borderId="0" xfId="28" applyNumberFormat="1" applyFont="1" applyBorder="1"/>
    <xf numFmtId="0" fontId="26" fillId="0" borderId="0" xfId="14" applyFont="1" applyAlignment="1">
      <alignment horizontal="left" vertical="center" wrapText="1"/>
    </xf>
    <xf numFmtId="168" fontId="24" fillId="0" borderId="24" xfId="3" applyNumberFormat="1" applyFont="1" applyFill="1" applyBorder="1" applyAlignment="1">
      <alignment vertical="center"/>
    </xf>
    <xf numFmtId="15" fontId="24" fillId="0" borderId="0" xfId="14" applyNumberFormat="1" applyFont="1" applyAlignment="1">
      <alignment horizontal="center" vertical="center"/>
    </xf>
    <xf numFmtId="171" fontId="10" fillId="0" borderId="0" xfId="14" applyNumberFormat="1" applyFont="1" applyAlignment="1">
      <alignment vertical="center"/>
    </xf>
    <xf numFmtId="167" fontId="9" fillId="0" borderId="25" xfId="29" applyNumberFormat="1" applyFont="1" applyBorder="1" applyAlignment="1">
      <alignment horizontal="center"/>
    </xf>
    <xf numFmtId="0" fontId="5" fillId="0" borderId="0" xfId="0" applyFont="1"/>
    <xf numFmtId="0" fontId="9" fillId="0" borderId="15" xfId="0" applyFont="1" applyBorder="1"/>
    <xf numFmtId="0" fontId="9" fillId="0" borderId="33" xfId="0" applyFont="1" applyBorder="1"/>
    <xf numFmtId="167" fontId="9" fillId="0" borderId="21" xfId="29" applyNumberFormat="1" applyFont="1" applyBorder="1" applyAlignment="1">
      <alignment horizontal="center"/>
    </xf>
    <xf numFmtId="9" fontId="10" fillId="0" borderId="0" xfId="28" applyFont="1" applyBorder="1"/>
    <xf numFmtId="167" fontId="20" fillId="4" borderId="13" xfId="3" applyNumberFormat="1" applyFont="1" applyFill="1" applyBorder="1" applyAlignment="1">
      <alignment horizontal="center" vertical="center"/>
    </xf>
    <xf numFmtId="0" fontId="31" fillId="4" borderId="0" xfId="0" applyFont="1" applyFill="1"/>
    <xf numFmtId="165" fontId="10" fillId="0" borderId="2" xfId="1" applyNumberFormat="1" applyFont="1" applyBorder="1" applyAlignment="1">
      <alignment horizontal="right"/>
    </xf>
    <xf numFmtId="165" fontId="9" fillId="0" borderId="0" xfId="0" applyNumberFormat="1" applyFont="1"/>
    <xf numFmtId="0" fontId="3" fillId="0" borderId="0" xfId="0" applyFont="1" applyAlignment="1">
      <alignment wrapText="1"/>
    </xf>
    <xf numFmtId="0" fontId="10" fillId="7" borderId="16" xfId="0" applyFont="1" applyFill="1" applyBorder="1"/>
    <xf numFmtId="0" fontId="10" fillId="7" borderId="16" xfId="0" quotePrefix="1" applyFont="1" applyFill="1" applyBorder="1" applyAlignment="1">
      <alignment horizontal="left"/>
    </xf>
    <xf numFmtId="0" fontId="10" fillId="0" borderId="2" xfId="0" applyFont="1" applyBorder="1"/>
    <xf numFmtId="167" fontId="10" fillId="0" borderId="32" xfId="29" applyNumberFormat="1" applyFont="1" applyFill="1" applyBorder="1" applyAlignment="1">
      <alignment horizontal="center"/>
    </xf>
    <xf numFmtId="0" fontId="25" fillId="4" borderId="0" xfId="14" applyFont="1" applyFill="1" applyAlignment="1">
      <alignment horizontal="center" wrapText="1"/>
    </xf>
    <xf numFmtId="171" fontId="24" fillId="10" borderId="6" xfId="3" applyNumberFormat="1" applyFont="1" applyFill="1" applyBorder="1" applyAlignment="1">
      <alignment vertical="center"/>
    </xf>
    <xf numFmtId="43" fontId="24" fillId="0" borderId="36" xfId="14" applyNumberFormat="1" applyFont="1" applyBorder="1" applyAlignment="1">
      <alignment vertical="center"/>
    </xf>
    <xf numFmtId="44" fontId="24" fillId="10" borderId="37" xfId="22" applyFont="1" applyFill="1" applyBorder="1" applyAlignment="1">
      <alignment vertical="center"/>
    </xf>
    <xf numFmtId="43" fontId="3" fillId="0" borderId="0" xfId="1" applyFont="1"/>
    <xf numFmtId="172" fontId="3" fillId="0" borderId="0" xfId="0" applyNumberFormat="1" applyFont="1"/>
    <xf numFmtId="43" fontId="0" fillId="0" borderId="0" xfId="1" applyFont="1"/>
    <xf numFmtId="173" fontId="0" fillId="0" borderId="0" xfId="0" applyNumberFormat="1"/>
    <xf numFmtId="165" fontId="9" fillId="7" borderId="39" xfId="1" applyNumberFormat="1" applyFont="1" applyFill="1" applyBorder="1" applyAlignment="1">
      <alignment horizontal="center" vertical="top"/>
    </xf>
    <xf numFmtId="167" fontId="10" fillId="7" borderId="42" xfId="20" applyNumberFormat="1" applyFont="1" applyFill="1" applyBorder="1" applyAlignment="1">
      <alignment horizontal="center" vertical="top"/>
    </xf>
    <xf numFmtId="167" fontId="10" fillId="7" borderId="43" xfId="20" applyNumberFormat="1" applyFont="1" applyFill="1" applyBorder="1" applyAlignment="1">
      <alignment horizontal="center" vertical="top"/>
    </xf>
    <xf numFmtId="174" fontId="11" fillId="7" borderId="0" xfId="29" applyNumberFormat="1" applyFont="1" applyFill="1" applyBorder="1" applyAlignment="1">
      <alignment vertical="top"/>
    </xf>
    <xf numFmtId="174" fontId="11" fillId="7" borderId="41" xfId="29" applyNumberFormat="1" applyFont="1" applyFill="1" applyBorder="1" applyAlignment="1">
      <alignment vertical="top"/>
    </xf>
    <xf numFmtId="0" fontId="29" fillId="4" borderId="2" xfId="14" applyFont="1" applyFill="1" applyBorder="1" applyAlignment="1">
      <alignment horizontal="left" vertical="center" wrapText="1"/>
    </xf>
    <xf numFmtId="0" fontId="29" fillId="4" borderId="2" xfId="14" applyFont="1" applyFill="1" applyBorder="1" applyAlignment="1">
      <alignment horizontal="left" vertical="center"/>
    </xf>
    <xf numFmtId="0" fontId="20" fillId="4" borderId="2" xfId="14" applyFont="1" applyFill="1" applyBorder="1" applyAlignment="1">
      <alignment horizontal="center" vertical="center"/>
    </xf>
    <xf numFmtId="165" fontId="20" fillId="4" borderId="2" xfId="3" applyNumberFormat="1" applyFont="1" applyFill="1" applyBorder="1" applyAlignment="1">
      <alignment horizontal="center" vertical="center"/>
    </xf>
    <xf numFmtId="165" fontId="20" fillId="4" borderId="2" xfId="3" applyNumberFormat="1" applyFont="1" applyFill="1" applyBorder="1" applyAlignment="1">
      <alignment horizontal="right" vertical="center"/>
    </xf>
    <xf numFmtId="165" fontId="29" fillId="4" borderId="2" xfId="3" applyNumberFormat="1" applyFont="1" applyFill="1" applyBorder="1" applyAlignment="1">
      <alignment horizontal="center" vertical="center"/>
    </xf>
    <xf numFmtId="0" fontId="29" fillId="4" borderId="45" xfId="14" applyFont="1" applyFill="1" applyBorder="1" applyAlignment="1">
      <alignment horizontal="center" vertical="center" wrapText="1"/>
    </xf>
    <xf numFmtId="0" fontId="29" fillId="4" borderId="34" xfId="14" applyFont="1" applyFill="1" applyBorder="1" applyAlignment="1">
      <alignment horizontal="left" vertical="center" wrapText="1"/>
    </xf>
    <xf numFmtId="0" fontId="20" fillId="4" borderId="27" xfId="14" applyFont="1" applyFill="1" applyBorder="1" applyAlignment="1">
      <alignment horizontal="center" vertical="center"/>
    </xf>
    <xf numFmtId="0" fontId="20" fillId="4" borderId="28" xfId="14" applyFont="1" applyFill="1" applyBorder="1" applyAlignment="1">
      <alignment horizontal="center" vertical="center"/>
    </xf>
    <xf numFmtId="0" fontId="20" fillId="4" borderId="14" xfId="14" applyFont="1" applyFill="1" applyBorder="1" applyAlignment="1">
      <alignment horizontal="left" vertical="center" wrapText="1"/>
    </xf>
    <xf numFmtId="0" fontId="30" fillId="4" borderId="14" xfId="14" applyFont="1" applyFill="1" applyBorder="1" applyAlignment="1">
      <alignment horizontal="center" wrapText="1"/>
    </xf>
    <xf numFmtId="0" fontId="29" fillId="4" borderId="14" xfId="14" applyFont="1" applyFill="1" applyBorder="1" applyAlignment="1">
      <alignment horizontal="left" vertical="center" wrapText="1"/>
    </xf>
    <xf numFmtId="0" fontId="20" fillId="4" borderId="13" xfId="14" applyFont="1" applyFill="1" applyBorder="1" applyAlignment="1">
      <alignment horizontal="center" vertical="center"/>
    </xf>
    <xf numFmtId="0" fontId="29" fillId="4" borderId="14" xfId="14" applyFont="1" applyFill="1" applyBorder="1" applyAlignment="1">
      <alignment horizontal="left" vertical="center"/>
    </xf>
    <xf numFmtId="165" fontId="29" fillId="4" borderId="13" xfId="3" applyNumberFormat="1" applyFont="1" applyFill="1" applyBorder="1" applyAlignment="1">
      <alignment horizontal="center" vertical="center"/>
    </xf>
    <xf numFmtId="165" fontId="31" fillId="4" borderId="0" xfId="1" applyNumberFormat="1" applyFont="1" applyFill="1"/>
    <xf numFmtId="0" fontId="3" fillId="4" borderId="0" xfId="0" applyFont="1" applyFill="1"/>
    <xf numFmtId="0" fontId="29" fillId="4" borderId="13" xfId="14" applyFont="1" applyFill="1" applyBorder="1" applyAlignment="1">
      <alignment horizontal="left" vertical="center" wrapText="1"/>
    </xf>
    <xf numFmtId="167" fontId="29" fillId="4" borderId="13" xfId="3" applyNumberFormat="1" applyFont="1" applyFill="1" applyBorder="1" applyAlignment="1">
      <alignment horizontal="center" vertical="center"/>
    </xf>
    <xf numFmtId="167" fontId="29" fillId="4" borderId="46" xfId="3" applyNumberFormat="1" applyFont="1" applyFill="1" applyBorder="1" applyAlignment="1">
      <alignment horizontal="center" vertical="center"/>
    </xf>
    <xf numFmtId="44" fontId="10" fillId="7" borderId="31" xfId="29" applyFont="1" applyFill="1" applyBorder="1" applyAlignment="1">
      <alignment horizontal="center" vertical="top"/>
    </xf>
    <xf numFmtId="165" fontId="9" fillId="4" borderId="0" xfId="1" applyNumberFormat="1" applyFont="1" applyFill="1" applyBorder="1"/>
    <xf numFmtId="165" fontId="14" fillId="0" borderId="2" xfId="1" applyNumberFormat="1" applyFont="1" applyBorder="1" applyAlignment="1">
      <alignment horizontal="center" wrapText="1"/>
    </xf>
    <xf numFmtId="175" fontId="10" fillId="0" borderId="0" xfId="0" applyNumberFormat="1" applyFont="1"/>
    <xf numFmtId="0" fontId="25" fillId="0" borderId="27" xfId="14" applyFont="1" applyBorder="1" applyAlignment="1">
      <alignment horizontal="left" vertical="center" wrapText="1"/>
    </xf>
    <xf numFmtId="14" fontId="25" fillId="0" borderId="28" xfId="14" applyNumberFormat="1" applyFont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 wrapText="1"/>
    </xf>
    <xf numFmtId="0" fontId="25" fillId="0" borderId="2" xfId="14" applyFont="1" applyBorder="1" applyAlignment="1">
      <alignment horizontal="left" vertical="center" wrapText="1"/>
    </xf>
    <xf numFmtId="0" fontId="25" fillId="0" borderId="2" xfId="14" quotePrefix="1" applyFont="1" applyBorder="1" applyAlignment="1">
      <alignment horizontal="center" vertical="center"/>
    </xf>
    <xf numFmtId="14" fontId="25" fillId="0" borderId="13" xfId="14" applyNumberFormat="1" applyFont="1" applyBorder="1" applyAlignment="1">
      <alignment horizontal="center" vertical="center"/>
    </xf>
    <xf numFmtId="165" fontId="27" fillId="4" borderId="14" xfId="3" applyNumberFormat="1" applyFont="1" applyFill="1" applyBorder="1" applyAlignment="1">
      <alignment vertical="center" wrapText="1"/>
    </xf>
    <xf numFmtId="0" fontId="25" fillId="0" borderId="2" xfId="14" applyFont="1" applyBorder="1" applyAlignment="1">
      <alignment horizontal="center" vertical="center" wrapText="1"/>
    </xf>
    <xf numFmtId="44" fontId="25" fillId="8" borderId="13" xfId="2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45" xfId="0" applyFont="1" applyBorder="1"/>
    <xf numFmtId="0" fontId="3" fillId="0" borderId="46" xfId="0" applyFont="1" applyBorder="1"/>
    <xf numFmtId="0" fontId="25" fillId="0" borderId="45" xfId="14" applyFont="1" applyBorder="1" applyAlignment="1">
      <alignment horizontal="center" vertical="center" wrapText="1"/>
    </xf>
    <xf numFmtId="44" fontId="25" fillId="8" borderId="46" xfId="20" applyFont="1" applyFill="1" applyBorder="1" applyAlignment="1">
      <alignment horizontal="center" vertical="center" wrapText="1"/>
    </xf>
    <xf numFmtId="0" fontId="27" fillId="4" borderId="52" xfId="0" applyFont="1" applyFill="1" applyBorder="1" applyAlignment="1">
      <alignment horizontal="center" vertical="center" wrapText="1"/>
    </xf>
    <xf numFmtId="0" fontId="25" fillId="0" borderId="53" xfId="14" applyFont="1" applyBorder="1" applyAlignment="1">
      <alignment horizontal="left" vertical="center" wrapText="1"/>
    </xf>
    <xf numFmtId="14" fontId="25" fillId="0" borderId="53" xfId="14" quotePrefix="1" applyNumberFormat="1" applyFont="1" applyBorder="1" applyAlignment="1">
      <alignment horizontal="center" vertical="center"/>
    </xf>
    <xf numFmtId="14" fontId="25" fillId="0" borderId="56" xfId="14" applyNumberFormat="1" applyFont="1" applyBorder="1" applyAlignment="1">
      <alignment horizontal="center" vertical="center"/>
    </xf>
    <xf numFmtId="165" fontId="27" fillId="4" borderId="52" xfId="3" applyNumberFormat="1" applyFont="1" applyFill="1" applyBorder="1" applyAlignment="1">
      <alignment vertical="center" wrapText="1"/>
    </xf>
    <xf numFmtId="0" fontId="25" fillId="0" borderId="53" xfId="14" applyFont="1" applyBorder="1" applyAlignment="1">
      <alignment horizontal="center" vertical="center" wrapText="1"/>
    </xf>
    <xf numFmtId="44" fontId="25" fillId="8" borderId="56" xfId="20" applyFont="1" applyFill="1" applyBorder="1" applyAlignment="1">
      <alignment horizontal="center" vertical="center" wrapText="1"/>
    </xf>
    <xf numFmtId="169" fontId="24" fillId="0" borderId="57" xfId="3" applyNumberFormat="1" applyFont="1" applyFill="1" applyBorder="1" applyAlignment="1">
      <alignment vertical="center"/>
    </xf>
    <xf numFmtId="170" fontId="25" fillId="0" borderId="58" xfId="3" applyNumberFormat="1" applyFont="1" applyFill="1" applyBorder="1" applyAlignment="1">
      <alignment vertical="center"/>
    </xf>
    <xf numFmtId="44" fontId="3" fillId="0" borderId="0" xfId="0" applyNumberFormat="1" applyFont="1"/>
    <xf numFmtId="171" fontId="0" fillId="0" borderId="0" xfId="0" applyNumberFormat="1"/>
    <xf numFmtId="0" fontId="25" fillId="0" borderId="14" xfId="14" applyFont="1" applyBorder="1" applyAlignment="1">
      <alignment horizontal="center" vertical="center" wrapText="1"/>
    </xf>
    <xf numFmtId="0" fontId="25" fillId="0" borderId="2" xfId="14" applyFont="1" applyBorder="1" applyAlignment="1">
      <alignment horizontal="center" vertical="center"/>
    </xf>
    <xf numFmtId="165" fontId="25" fillId="0" borderId="14" xfId="1" applyNumberFormat="1" applyFont="1" applyFill="1" applyBorder="1" applyAlignment="1">
      <alignment horizontal="center" vertical="center" wrapText="1"/>
    </xf>
    <xf numFmtId="169" fontId="24" fillId="0" borderId="6" xfId="3" applyNumberFormat="1" applyFont="1" applyFill="1" applyBorder="1" applyAlignment="1">
      <alignment vertical="center"/>
    </xf>
    <xf numFmtId="170" fontId="25" fillId="0" borderId="36" xfId="3" applyNumberFormat="1" applyFont="1" applyFill="1" applyBorder="1" applyAlignment="1">
      <alignment vertical="center"/>
    </xf>
    <xf numFmtId="44" fontId="24" fillId="0" borderId="37" xfId="22" applyFont="1" applyFill="1" applyBorder="1" applyAlignment="1">
      <alignment vertical="center"/>
    </xf>
    <xf numFmtId="171" fontId="24" fillId="10" borderId="57" xfId="3" applyNumberFormat="1" applyFont="1" applyFill="1" applyBorder="1" applyAlignment="1">
      <alignment vertical="center"/>
    </xf>
    <xf numFmtId="43" fontId="24" fillId="0" borderId="20" xfId="14" applyNumberFormat="1" applyFont="1" applyBorder="1" applyAlignment="1">
      <alignment vertical="center"/>
    </xf>
    <xf numFmtId="44" fontId="24" fillId="10" borderId="57" xfId="22" applyFont="1" applyFill="1" applyBorder="1" applyAlignment="1">
      <alignment vertical="center"/>
    </xf>
    <xf numFmtId="167" fontId="10" fillId="7" borderId="47" xfId="20" applyNumberFormat="1" applyFont="1" applyFill="1" applyBorder="1" applyAlignment="1">
      <alignment horizontal="center" vertical="top"/>
    </xf>
    <xf numFmtId="167" fontId="10" fillId="7" borderId="29" xfId="29" applyNumberFormat="1" applyFont="1" applyFill="1" applyBorder="1" applyAlignment="1">
      <alignment horizontal="center" vertical="top"/>
    </xf>
    <xf numFmtId="167" fontId="10" fillId="7" borderId="41" xfId="29" applyNumberFormat="1" applyFont="1" applyFill="1" applyBorder="1" applyAlignment="1">
      <alignment horizontal="center" vertical="top"/>
    </xf>
    <xf numFmtId="167" fontId="10" fillId="7" borderId="5" xfId="29" applyNumberFormat="1" applyFont="1" applyFill="1" applyBorder="1" applyAlignment="1">
      <alignment horizontal="center" vertical="top"/>
    </xf>
    <xf numFmtId="165" fontId="11" fillId="7" borderId="47" xfId="1" applyNumberFormat="1" applyFont="1" applyFill="1" applyBorder="1" applyAlignment="1">
      <alignment horizontal="center" vertical="top"/>
    </xf>
    <xf numFmtId="167" fontId="11" fillId="7" borderId="49" xfId="29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14" applyFont="1" applyAlignment="1">
      <alignment horizontal="center"/>
    </xf>
    <xf numFmtId="0" fontId="9" fillId="0" borderId="2" xfId="0" applyFont="1" applyBorder="1" applyAlignment="1">
      <alignment horizontal="center"/>
    </xf>
    <xf numFmtId="166" fontId="10" fillId="0" borderId="2" xfId="0" applyNumberFormat="1" applyFont="1" applyBorder="1"/>
    <xf numFmtId="9" fontId="10" fillId="0" borderId="2" xfId="28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9" fontId="10" fillId="0" borderId="0" xfId="1" applyNumberFormat="1" applyFont="1" applyBorder="1"/>
    <xf numFmtId="9" fontId="10" fillId="0" borderId="0" xfId="1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9" borderId="14" xfId="14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left" vertical="top" wrapText="1"/>
    </xf>
    <xf numFmtId="43" fontId="5" fillId="0" borderId="0" xfId="1" applyFont="1"/>
    <xf numFmtId="165" fontId="10" fillId="7" borderId="43" xfId="1" applyNumberFormat="1" applyFont="1" applyFill="1" applyBorder="1" applyAlignment="1">
      <alignment horizontal="center" vertical="top"/>
    </xf>
    <xf numFmtId="165" fontId="10" fillId="7" borderId="47" xfId="1" applyNumberFormat="1" applyFont="1" applyFill="1" applyBorder="1" applyAlignment="1">
      <alignment horizontal="center" vertical="top"/>
    </xf>
    <xf numFmtId="165" fontId="10" fillId="7" borderId="41" xfId="1" applyNumberFormat="1" applyFont="1" applyFill="1" applyBorder="1" applyAlignment="1">
      <alignment horizontal="center" vertical="top"/>
    </xf>
    <xf numFmtId="165" fontId="10" fillId="7" borderId="5" xfId="1" applyNumberFormat="1" applyFont="1" applyFill="1" applyBorder="1" applyAlignment="1">
      <alignment horizontal="center" vertical="top"/>
    </xf>
    <xf numFmtId="165" fontId="11" fillId="7" borderId="49" xfId="1" applyNumberFormat="1" applyFont="1" applyFill="1" applyBorder="1" applyAlignment="1">
      <alignment horizontal="center" vertical="top"/>
    </xf>
    <xf numFmtId="165" fontId="10" fillId="7" borderId="42" xfId="1" applyNumberFormat="1" applyFont="1" applyFill="1" applyBorder="1" applyAlignment="1">
      <alignment horizontal="center" vertical="top"/>
    </xf>
    <xf numFmtId="165" fontId="10" fillId="7" borderId="29" xfId="1" applyNumberFormat="1" applyFont="1" applyFill="1" applyBorder="1" applyAlignment="1">
      <alignment horizontal="center" vertical="top"/>
    </xf>
    <xf numFmtId="44" fontId="10" fillId="7" borderId="29" xfId="29" applyFont="1" applyFill="1" applyBorder="1" applyAlignment="1">
      <alignment horizontal="center" vertical="top"/>
    </xf>
    <xf numFmtId="44" fontId="10" fillId="7" borderId="40" xfId="29" applyFont="1" applyFill="1" applyBorder="1" applyAlignment="1">
      <alignment horizontal="center" vertical="top"/>
    </xf>
    <xf numFmtId="44" fontId="10" fillId="7" borderId="49" xfId="29" applyFont="1" applyFill="1" applyBorder="1" applyAlignment="1">
      <alignment horizontal="center" vertical="top"/>
    </xf>
    <xf numFmtId="165" fontId="19" fillId="0" borderId="0" xfId="1" applyNumberFormat="1" applyFont="1" applyAlignment="1">
      <alignment horizontal="right"/>
    </xf>
    <xf numFmtId="0" fontId="18" fillId="0" borderId="0" xfId="0" applyFont="1"/>
    <xf numFmtId="165" fontId="19" fillId="0" borderId="0" xfId="1" applyNumberFormat="1" applyFont="1"/>
    <xf numFmtId="0" fontId="18" fillId="0" borderId="0" xfId="0" applyFont="1" applyAlignment="1">
      <alignment horizontal="right"/>
    </xf>
    <xf numFmtId="165" fontId="36" fillId="0" borderId="0" xfId="0" applyNumberFormat="1" applyFont="1" applyAlignment="1">
      <alignment horizontal="right"/>
    </xf>
    <xf numFmtId="43" fontId="36" fillId="0" borderId="0" xfId="0" applyNumberFormat="1" applyFont="1"/>
    <xf numFmtId="167" fontId="36" fillId="0" borderId="0" xfId="0" applyNumberFormat="1" applyFont="1" applyAlignment="1">
      <alignment horizontal="right"/>
    </xf>
    <xf numFmtId="0" fontId="36" fillId="0" borderId="0" xfId="0" applyFont="1"/>
    <xf numFmtId="165" fontId="18" fillId="0" borderId="0" xfId="0" applyNumberFormat="1" applyFont="1"/>
    <xf numFmtId="165" fontId="18" fillId="0" borderId="0" xfId="1" applyNumberFormat="1" applyFont="1"/>
    <xf numFmtId="0" fontId="24" fillId="0" borderId="6" xfId="14" applyFont="1" applyBorder="1" applyAlignment="1">
      <alignment horizontal="center" vertical="center" wrapText="1"/>
    </xf>
    <xf numFmtId="0" fontId="24" fillId="0" borderId="36" xfId="14" applyFont="1" applyBorder="1" applyAlignment="1">
      <alignment horizontal="left" vertical="center" wrapText="1"/>
    </xf>
    <xf numFmtId="0" fontId="24" fillId="0" borderId="36" xfId="14" applyFont="1" applyBorder="1" applyAlignment="1">
      <alignment horizontal="center" vertical="center" wrapText="1"/>
    </xf>
    <xf numFmtId="0" fontId="24" fillId="0" borderId="37" xfId="14" applyFont="1" applyBorder="1" applyAlignment="1">
      <alignment horizontal="center" vertical="center" wrapText="1"/>
    </xf>
    <xf numFmtId="0" fontId="25" fillId="0" borderId="34" xfId="14" applyFont="1" applyBorder="1" applyAlignment="1">
      <alignment horizontal="center" vertical="center" wrapText="1"/>
    </xf>
    <xf numFmtId="0" fontId="25" fillId="0" borderId="27" xfId="14" applyFont="1" applyBorder="1" applyAlignment="1">
      <alignment horizontal="center" vertical="center"/>
    </xf>
    <xf numFmtId="0" fontId="24" fillId="0" borderId="4" xfId="14" applyFont="1" applyBorder="1" applyAlignment="1">
      <alignment horizontal="center" vertical="center" wrapText="1"/>
    </xf>
    <xf numFmtId="165" fontId="25" fillId="0" borderId="34" xfId="1" applyNumberFormat="1" applyFont="1" applyFill="1" applyBorder="1" applyAlignment="1">
      <alignment horizontal="center" vertical="center" wrapText="1"/>
    </xf>
    <xf numFmtId="0" fontId="25" fillId="0" borderId="54" xfId="14" applyFont="1" applyBorder="1" applyAlignment="1">
      <alignment horizontal="center" vertical="center" wrapText="1"/>
    </xf>
    <xf numFmtId="44" fontId="25" fillId="8" borderId="51" xfId="20" applyFont="1" applyFill="1" applyBorder="1" applyAlignment="1">
      <alignment horizontal="center" vertical="center" wrapText="1"/>
    </xf>
    <xf numFmtId="0" fontId="25" fillId="0" borderId="55" xfId="14" applyFont="1" applyBorder="1" applyAlignment="1">
      <alignment horizontal="center" vertical="center" wrapText="1"/>
    </xf>
    <xf numFmtId="0" fontId="25" fillId="0" borderId="49" xfId="14" applyFont="1" applyBorder="1" applyAlignment="1">
      <alignment horizontal="left" vertical="center" wrapText="1"/>
    </xf>
    <xf numFmtId="0" fontId="25" fillId="0" borderId="49" xfId="14" applyFont="1" applyBorder="1" applyAlignment="1">
      <alignment horizontal="center" vertical="center"/>
    </xf>
    <xf numFmtId="14" fontId="25" fillId="0" borderId="50" xfId="14" applyNumberFormat="1" applyFont="1" applyBorder="1" applyAlignment="1">
      <alignment horizontal="center" vertical="center"/>
    </xf>
    <xf numFmtId="165" fontId="25" fillId="0" borderId="55" xfId="1" applyNumberFormat="1" applyFont="1" applyFill="1" applyBorder="1" applyAlignment="1">
      <alignment horizontal="center" vertical="center" wrapText="1"/>
    </xf>
    <xf numFmtId="0" fontId="25" fillId="0" borderId="18" xfId="14" applyFont="1" applyBorder="1" applyAlignment="1">
      <alignment horizontal="center" vertical="center" wrapText="1"/>
    </xf>
    <xf numFmtId="0" fontId="25" fillId="0" borderId="45" xfId="14" applyFont="1" applyBorder="1" applyAlignment="1">
      <alignment horizontal="left" vertical="center" wrapText="1"/>
    </xf>
    <xf numFmtId="0" fontId="25" fillId="0" borderId="45" xfId="14" applyFont="1" applyBorder="1" applyAlignment="1">
      <alignment horizontal="center" vertical="center"/>
    </xf>
    <xf numFmtId="14" fontId="25" fillId="0" borderId="46" xfId="14" applyNumberFormat="1" applyFont="1" applyBorder="1" applyAlignment="1">
      <alignment horizontal="center" vertical="center"/>
    </xf>
    <xf numFmtId="165" fontId="25" fillId="0" borderId="18" xfId="1" applyNumberFormat="1" applyFont="1" applyFill="1" applyBorder="1" applyAlignment="1">
      <alignment horizontal="center" vertical="center" wrapText="1"/>
    </xf>
    <xf numFmtId="168" fontId="10" fillId="0" borderId="0" xfId="14" applyNumberFormat="1" applyFont="1" applyAlignment="1">
      <alignment vertical="center"/>
    </xf>
    <xf numFmtId="0" fontId="25" fillId="0" borderId="49" xfId="14" applyFont="1" applyBorder="1" applyAlignment="1">
      <alignment horizontal="center" vertical="center" wrapText="1"/>
    </xf>
    <xf numFmtId="44" fontId="25" fillId="8" borderId="50" xfId="20" applyFont="1" applyFill="1" applyBorder="1" applyAlignment="1">
      <alignment horizontal="center" vertical="center" wrapText="1"/>
    </xf>
    <xf numFmtId="0" fontId="27" fillId="4" borderId="59" xfId="0" applyFont="1" applyFill="1" applyBorder="1" applyAlignment="1">
      <alignment horizontal="center" vertical="center" wrapText="1"/>
    </xf>
    <xf numFmtId="165" fontId="27" fillId="4" borderId="59" xfId="3" applyNumberFormat="1" applyFont="1" applyFill="1" applyBorder="1" applyAlignment="1">
      <alignment vertical="center" wrapText="1"/>
    </xf>
    <xf numFmtId="0" fontId="25" fillId="0" borderId="31" xfId="14" applyFont="1" applyBorder="1" applyAlignment="1">
      <alignment horizontal="left" vertical="center" wrapText="1"/>
    </xf>
    <xf numFmtId="44" fontId="24" fillId="0" borderId="56" xfId="20" applyFont="1" applyFill="1" applyBorder="1" applyAlignment="1">
      <alignment vertical="center"/>
    </xf>
    <xf numFmtId="15" fontId="25" fillId="0" borderId="44" xfId="14" applyNumberFormat="1" applyFont="1" applyBorder="1" applyAlignment="1">
      <alignment horizontal="left" wrapText="1"/>
    </xf>
    <xf numFmtId="43" fontId="3" fillId="0" borderId="0" xfId="0" applyNumberFormat="1" applyFont="1"/>
    <xf numFmtId="165" fontId="3" fillId="4" borderId="0" xfId="0" applyNumberFormat="1" applyFont="1" applyFill="1"/>
    <xf numFmtId="167" fontId="29" fillId="4" borderId="37" xfId="3" applyNumberFormat="1" applyFont="1" applyFill="1" applyBorder="1" applyAlignment="1">
      <alignment horizontal="center" vertical="center"/>
    </xf>
    <xf numFmtId="167" fontId="29" fillId="4" borderId="64" xfId="3" applyNumberFormat="1" applyFont="1" applyFill="1" applyBorder="1" applyAlignment="1">
      <alignment horizontal="center" vertical="center"/>
    </xf>
    <xf numFmtId="0" fontId="9" fillId="0" borderId="8" xfId="14" applyFont="1" applyBorder="1" applyAlignment="1">
      <alignment horizontal="center"/>
    </xf>
    <xf numFmtId="0" fontId="9" fillId="0" borderId="9" xfId="14" applyFont="1" applyBorder="1" applyAlignment="1">
      <alignment horizontal="center"/>
    </xf>
    <xf numFmtId="0" fontId="9" fillId="0" borderId="10" xfId="14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9" fillId="4" borderId="7" xfId="0" applyFont="1" applyFill="1" applyBorder="1" applyAlignment="1">
      <alignment horizontal="center" vertical="top"/>
    </xf>
    <xf numFmtId="0" fontId="9" fillId="4" borderId="39" xfId="0" applyFont="1" applyFill="1" applyBorder="1" applyAlignment="1">
      <alignment horizontal="center" vertical="top"/>
    </xf>
    <xf numFmtId="0" fontId="9" fillId="4" borderId="38" xfId="0" applyFont="1" applyFill="1" applyBorder="1" applyAlignment="1">
      <alignment horizontal="center" vertical="top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5" fontId="9" fillId="7" borderId="7" xfId="0" applyNumberFormat="1" applyFont="1" applyFill="1" applyBorder="1" applyAlignment="1">
      <alignment horizontal="center" vertical="top" wrapText="1"/>
    </xf>
    <xf numFmtId="15" fontId="9" fillId="7" borderId="38" xfId="0" applyNumberFormat="1" applyFont="1" applyFill="1" applyBorder="1" applyAlignment="1">
      <alignment horizontal="center" vertical="top" wrapText="1"/>
    </xf>
    <xf numFmtId="15" fontId="9" fillId="0" borderId="7" xfId="0" applyNumberFormat="1" applyFont="1" applyBorder="1" applyAlignment="1">
      <alignment horizontal="center" vertical="top" wrapText="1"/>
    </xf>
    <xf numFmtId="15" fontId="9" fillId="0" borderId="38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4" xfId="14" applyFont="1" applyBorder="1" applyAlignment="1">
      <alignment horizontal="center" vertical="center"/>
    </xf>
    <xf numFmtId="0" fontId="9" fillId="0" borderId="14" xfId="14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14" quotePrefix="1" applyFont="1" applyAlignment="1">
      <alignment horizontal="center"/>
    </xf>
    <xf numFmtId="0" fontId="7" fillId="0" borderId="8" xfId="14" applyFont="1" applyBorder="1" applyAlignment="1">
      <alignment horizontal="center"/>
    </xf>
    <xf numFmtId="0" fontId="7" fillId="0" borderId="9" xfId="14" applyFont="1" applyBorder="1" applyAlignment="1">
      <alignment horizontal="center"/>
    </xf>
    <xf numFmtId="0" fontId="7" fillId="0" borderId="23" xfId="14" applyFont="1" applyBorder="1" applyAlignment="1">
      <alignment horizontal="center"/>
    </xf>
    <xf numFmtId="0" fontId="7" fillId="0" borderId="20" xfId="14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7" fontId="10" fillId="0" borderId="16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11" xfId="14" applyFont="1" applyBorder="1" applyAlignment="1">
      <alignment horizontal="center"/>
    </xf>
    <xf numFmtId="0" fontId="6" fillId="0" borderId="0" xfId="14" applyFont="1" applyAlignment="1">
      <alignment horizontal="center"/>
    </xf>
    <xf numFmtId="0" fontId="7" fillId="0" borderId="11" xfId="14" applyFont="1" applyBorder="1" applyAlignment="1">
      <alignment horizontal="center"/>
    </xf>
    <xf numFmtId="0" fontId="7" fillId="0" borderId="0" xfId="14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4" fillId="10" borderId="23" xfId="14" applyFont="1" applyFill="1" applyBorder="1" applyAlignment="1">
      <alignment horizontal="left" vertical="center" wrapText="1"/>
    </xf>
    <xf numFmtId="0" fontId="24" fillId="10" borderId="20" xfId="14" applyFont="1" applyFill="1" applyBorder="1" applyAlignment="1">
      <alignment horizontal="left" vertical="center" wrapText="1"/>
    </xf>
    <xf numFmtId="0" fontId="24" fillId="10" borderId="26" xfId="14" applyFont="1" applyFill="1" applyBorder="1" applyAlignment="1">
      <alignment horizontal="left" vertical="center" wrapText="1"/>
    </xf>
    <xf numFmtId="15" fontId="25" fillId="0" borderId="9" xfId="14" applyNumberFormat="1" applyFont="1" applyBorder="1" applyAlignment="1">
      <alignment horizontal="left" wrapText="1"/>
    </xf>
    <xf numFmtId="0" fontId="33" fillId="0" borderId="7" xfId="14" applyFont="1" applyBorder="1" applyAlignment="1">
      <alignment horizontal="center" vertical="center"/>
    </xf>
    <xf numFmtId="0" fontId="33" fillId="0" borderId="39" xfId="14" applyFont="1" applyBorder="1" applyAlignment="1">
      <alignment horizontal="center" vertical="center"/>
    </xf>
    <xf numFmtId="0" fontId="33" fillId="0" borderId="38" xfId="14" applyFont="1" applyBorder="1" applyAlignment="1">
      <alignment horizontal="center" vertical="center"/>
    </xf>
    <xf numFmtId="0" fontId="26" fillId="0" borderId="7" xfId="14" applyFont="1" applyBorder="1" applyAlignment="1">
      <alignment horizontal="left" vertical="center" wrapText="1"/>
    </xf>
    <xf numFmtId="0" fontId="26" fillId="0" borderId="39" xfId="14" applyFont="1" applyBorder="1" applyAlignment="1">
      <alignment horizontal="left" vertical="center" wrapText="1"/>
    </xf>
    <xf numFmtId="0" fontId="26" fillId="0" borderId="38" xfId="14" applyFont="1" applyBorder="1" applyAlignment="1">
      <alignment horizontal="left" vertical="center" wrapText="1"/>
    </xf>
    <xf numFmtId="0" fontId="24" fillId="4" borderId="6" xfId="14" applyFont="1" applyFill="1" applyBorder="1" applyAlignment="1">
      <alignment horizontal="center" vertical="center" wrapText="1"/>
    </xf>
    <xf numFmtId="0" fontId="24" fillId="4" borderId="36" xfId="14" applyFont="1" applyFill="1" applyBorder="1" applyAlignment="1">
      <alignment horizontal="center" vertical="center" wrapText="1"/>
    </xf>
    <xf numFmtId="0" fontId="24" fillId="4" borderId="37" xfId="14" applyFont="1" applyFill="1" applyBorder="1" applyAlignment="1">
      <alignment horizontal="center" vertical="center" wrapText="1"/>
    </xf>
    <xf numFmtId="15" fontId="24" fillId="0" borderId="15" xfId="14" applyNumberFormat="1" applyFont="1" applyBorder="1" applyAlignment="1">
      <alignment horizontal="center" vertical="center"/>
    </xf>
    <xf numFmtId="15" fontId="24" fillId="0" borderId="60" xfId="14" applyNumberFormat="1" applyFont="1" applyBorder="1" applyAlignment="1">
      <alignment horizontal="center" vertical="center"/>
    </xf>
    <xf numFmtId="15" fontId="24" fillId="0" borderId="61" xfId="14" applyNumberFormat="1" applyFont="1" applyBorder="1" applyAlignment="1">
      <alignment horizontal="center" vertical="center"/>
    </xf>
    <xf numFmtId="0" fontId="24" fillId="10" borderId="7" xfId="14" applyFont="1" applyFill="1" applyBorder="1" applyAlignment="1">
      <alignment horizontal="left" vertical="center" wrapText="1"/>
    </xf>
    <xf numFmtId="0" fontId="24" fillId="10" borderId="39" xfId="14" applyFont="1" applyFill="1" applyBorder="1" applyAlignment="1">
      <alignment horizontal="left" vertical="center" wrapText="1"/>
    </xf>
    <xf numFmtId="0" fontId="24" fillId="10" borderId="38" xfId="14" applyFont="1" applyFill="1" applyBorder="1" applyAlignment="1">
      <alignment horizontal="left" vertical="center" wrapText="1"/>
    </xf>
    <xf numFmtId="0" fontId="33" fillId="0" borderId="20" xfId="14" applyFont="1" applyBorder="1" applyAlignment="1">
      <alignment horizontal="center" vertical="center"/>
    </xf>
    <xf numFmtId="0" fontId="29" fillId="4" borderId="34" xfId="14" applyFont="1" applyFill="1" applyBorder="1" applyAlignment="1">
      <alignment horizontal="center" vertical="center"/>
    </xf>
    <xf numFmtId="0" fontId="29" fillId="4" borderId="18" xfId="14" applyFont="1" applyFill="1" applyBorder="1" applyAlignment="1">
      <alignment horizontal="center" vertical="center"/>
    </xf>
    <xf numFmtId="0" fontId="29" fillId="4" borderId="27" xfId="14" applyFont="1" applyFill="1" applyBorder="1" applyAlignment="1">
      <alignment horizontal="center" vertical="center" wrapText="1"/>
    </xf>
    <xf numFmtId="0" fontId="29" fillId="4" borderId="49" xfId="14" applyFont="1" applyFill="1" applyBorder="1" applyAlignment="1">
      <alignment horizontal="center" vertical="center" wrapText="1"/>
    </xf>
    <xf numFmtId="0" fontId="29" fillId="4" borderId="50" xfId="14" applyFont="1" applyFill="1" applyBorder="1" applyAlignment="1">
      <alignment horizontal="center" vertical="center" wrapText="1"/>
    </xf>
    <xf numFmtId="0" fontId="29" fillId="4" borderId="45" xfId="14" applyFont="1" applyFill="1" applyBorder="1" applyAlignment="1">
      <alignment horizontal="center" vertical="center" wrapText="1"/>
    </xf>
    <xf numFmtId="0" fontId="29" fillId="4" borderId="46" xfId="14" applyFont="1" applyFill="1" applyBorder="1" applyAlignment="1">
      <alignment horizontal="center" vertical="center" wrapText="1"/>
    </xf>
    <xf numFmtId="0" fontId="32" fillId="4" borderId="15" xfId="14" applyFont="1" applyFill="1" applyBorder="1" applyAlignment="1">
      <alignment horizontal="right" vertical="center"/>
    </xf>
    <xf numFmtId="0" fontId="32" fillId="4" borderId="60" xfId="14" applyFont="1" applyFill="1" applyBorder="1" applyAlignment="1">
      <alignment horizontal="right" vertical="center"/>
    </xf>
    <xf numFmtId="0" fontId="32" fillId="4" borderId="62" xfId="14" applyFont="1" applyFill="1" applyBorder="1" applyAlignment="1">
      <alignment horizontal="right" vertical="center"/>
    </xf>
    <xf numFmtId="0" fontId="32" fillId="4" borderId="7" xfId="14" applyFont="1" applyFill="1" applyBorder="1" applyAlignment="1">
      <alignment horizontal="center" vertical="center"/>
    </xf>
    <xf numFmtId="0" fontId="32" fillId="4" borderId="39" xfId="14" applyFont="1" applyFill="1" applyBorder="1" applyAlignment="1">
      <alignment horizontal="center" vertical="center"/>
    </xf>
    <xf numFmtId="0" fontId="32" fillId="4" borderId="63" xfId="14" applyFont="1" applyFill="1" applyBorder="1" applyAlignment="1">
      <alignment horizontal="center" vertical="center"/>
    </xf>
    <xf numFmtId="0" fontId="20" fillId="4" borderId="23" xfId="14" applyFont="1" applyFill="1" applyBorder="1" applyAlignment="1">
      <alignment horizontal="center"/>
    </xf>
    <xf numFmtId="0" fontId="20" fillId="4" borderId="20" xfId="14" applyFont="1" applyFill="1" applyBorder="1" applyAlignment="1">
      <alignment horizontal="center"/>
    </xf>
    <xf numFmtId="0" fontId="20" fillId="4" borderId="26" xfId="14" applyFont="1" applyFill="1" applyBorder="1" applyAlignment="1">
      <alignment horizontal="center"/>
    </xf>
    <xf numFmtId="0" fontId="20" fillId="4" borderId="0" xfId="14" applyFont="1" applyFill="1" applyAlignment="1">
      <alignment horizontal="center"/>
    </xf>
    <xf numFmtId="0" fontId="20" fillId="4" borderId="8" xfId="14" applyFont="1" applyFill="1" applyBorder="1" applyAlignment="1">
      <alignment horizontal="center"/>
    </xf>
    <xf numFmtId="0" fontId="20" fillId="4" borderId="9" xfId="14" applyFont="1" applyFill="1" applyBorder="1" applyAlignment="1">
      <alignment horizontal="center"/>
    </xf>
    <xf numFmtId="0" fontId="20" fillId="4" borderId="10" xfId="14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29" fillId="4" borderId="11" xfId="14" applyFont="1" applyFill="1" applyBorder="1" applyAlignment="1">
      <alignment horizontal="center"/>
    </xf>
    <xf numFmtId="0" fontId="29" fillId="4" borderId="0" xfId="14" applyFont="1" applyFill="1" applyAlignment="1">
      <alignment horizontal="center"/>
    </xf>
    <xf numFmtId="0" fontId="29" fillId="4" borderId="12" xfId="14" applyFont="1" applyFill="1" applyBorder="1" applyAlignment="1">
      <alignment horizontal="center"/>
    </xf>
    <xf numFmtId="0" fontId="29" fillId="4" borderId="55" xfId="14" applyFont="1" applyFill="1" applyBorder="1" applyAlignment="1">
      <alignment horizontal="center" vertical="center"/>
    </xf>
    <xf numFmtId="0" fontId="32" fillId="4" borderId="33" xfId="14" applyFont="1" applyFill="1" applyBorder="1" applyAlignment="1">
      <alignment horizontal="right" vertical="center"/>
    </xf>
    <xf numFmtId="0" fontId="32" fillId="4" borderId="44" xfId="14" applyFont="1" applyFill="1" applyBorder="1" applyAlignment="1">
      <alignment horizontal="right" vertical="center"/>
    </xf>
    <xf numFmtId="0" fontId="32" fillId="4" borderId="29" xfId="14" applyFont="1" applyFill="1" applyBorder="1" applyAlignment="1">
      <alignment horizontal="right" vertical="center"/>
    </xf>
    <xf numFmtId="0" fontId="32" fillId="4" borderId="6" xfId="14" applyFont="1" applyFill="1" applyBorder="1" applyAlignment="1">
      <alignment horizontal="center" vertical="center"/>
    </xf>
    <xf numFmtId="0" fontId="32" fillId="4" borderId="36" xfId="14" applyFont="1" applyFill="1" applyBorder="1" applyAlignment="1">
      <alignment horizontal="center" vertical="center"/>
    </xf>
    <xf numFmtId="0" fontId="20" fillId="4" borderId="11" xfId="14" applyFont="1" applyFill="1" applyBorder="1" applyAlignment="1">
      <alignment horizontal="center"/>
    </xf>
    <xf numFmtId="0" fontId="20" fillId="4" borderId="12" xfId="14" applyFont="1" applyFill="1" applyBorder="1" applyAlignment="1">
      <alignment horizontal="center"/>
    </xf>
  </cellXfs>
  <cellStyles count="34">
    <cellStyle name="Comma" xfId="1" builtinId="3"/>
    <cellStyle name="Comma 2" xfId="3" xr:uid="{00000000-0005-0000-0000-000001000000}"/>
    <cellStyle name="Comma 2 2" xfId="15" xr:uid="{00000000-0005-0000-0000-000002000000}"/>
    <cellStyle name="Comma 2 3" xfId="33" xr:uid="{00000000-0005-0000-0000-000003000000}"/>
    <cellStyle name="Comma 3" xfId="5" xr:uid="{00000000-0005-0000-0000-000004000000}"/>
    <cellStyle name="Comma 3 2" xfId="17" xr:uid="{00000000-0005-0000-0000-000005000000}"/>
    <cellStyle name="Comma 4" xfId="18" xr:uid="{00000000-0005-0000-0000-000006000000}"/>
    <cellStyle name="Comma 5" xfId="19" xr:uid="{00000000-0005-0000-0000-000007000000}"/>
    <cellStyle name="Comma 6" xfId="32" xr:uid="{00000000-0005-0000-0000-000008000000}"/>
    <cellStyle name="Currency" xfId="29" builtinId="4"/>
    <cellStyle name="Currency 2" xfId="20" xr:uid="{00000000-0005-0000-0000-00000A000000}"/>
    <cellStyle name="Currency 2 2" xfId="21" xr:uid="{00000000-0005-0000-0000-00000B000000}"/>
    <cellStyle name="Currency 3" xfId="22" xr:uid="{00000000-0005-0000-0000-00000C000000}"/>
    <cellStyle name="Currency 4" xfId="23" xr:uid="{00000000-0005-0000-0000-00000D000000}"/>
    <cellStyle name="Currency 5" xfId="31" xr:uid="{00000000-0005-0000-0000-00000E000000}"/>
    <cellStyle name="Normal" xfId="0" builtinId="0"/>
    <cellStyle name="Normal 2" xfId="16" xr:uid="{00000000-0005-0000-0000-000010000000}"/>
    <cellStyle name="Normal 2 2" xfId="2" xr:uid="{00000000-0005-0000-0000-000011000000}"/>
    <cellStyle name="Normal 2 2 2" xfId="14" xr:uid="{00000000-0005-0000-0000-000012000000}"/>
    <cellStyle name="Normal 2 3" xfId="6" xr:uid="{00000000-0005-0000-0000-000013000000}"/>
    <cellStyle name="Normal 2 4" xfId="7" xr:uid="{00000000-0005-0000-0000-000014000000}"/>
    <cellStyle name="Normal 2 5" xfId="8" xr:uid="{00000000-0005-0000-0000-000015000000}"/>
    <cellStyle name="Normal 2 6" xfId="9" xr:uid="{00000000-0005-0000-0000-000016000000}"/>
    <cellStyle name="Normal 2 7" xfId="11" xr:uid="{00000000-0005-0000-0000-000017000000}"/>
    <cellStyle name="Normal 3" xfId="4" xr:uid="{00000000-0005-0000-0000-000018000000}"/>
    <cellStyle name="Normal 3 2" xfId="10" xr:uid="{00000000-0005-0000-0000-000019000000}"/>
    <cellStyle name="Normal 3 3" xfId="12" xr:uid="{00000000-0005-0000-0000-00001A000000}"/>
    <cellStyle name="Normal 3 4" xfId="13" xr:uid="{00000000-0005-0000-0000-00001B000000}"/>
    <cellStyle name="Normal 4" xfId="24" xr:uid="{00000000-0005-0000-0000-00001C000000}"/>
    <cellStyle name="Normal 5" xfId="25" xr:uid="{00000000-0005-0000-0000-00001D000000}"/>
    <cellStyle name="Normal 6" xfId="27" xr:uid="{00000000-0005-0000-0000-00001E000000}"/>
    <cellStyle name="Normal 7" xfId="30" xr:uid="{00000000-0005-0000-0000-00001F000000}"/>
    <cellStyle name="Percent" xfId="28" builtinId="5"/>
    <cellStyle name="Percent 2" xfId="26" xr:uid="{00000000-0005-0000-0000-000021000000}"/>
  </cellStyles>
  <dxfs count="0"/>
  <tableStyles count="0" defaultTableStyle="TableStyleMedium9" defaultPivotStyle="PivotStyleLight16"/>
  <colors>
    <mruColors>
      <color rgb="FFBABA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Q141"/>
  <sheetViews>
    <sheetView zoomScale="94" zoomScaleNormal="94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H77" activeCellId="1" sqref="H68 H77"/>
    </sheetView>
  </sheetViews>
  <sheetFormatPr defaultColWidth="9.140625" defaultRowHeight="12.75" x14ac:dyDescent="0.2"/>
  <cols>
    <col min="1" max="1" width="57.140625" style="41" bestFit="1" customWidth="1"/>
    <col min="2" max="3" width="18.140625" style="41" customWidth="1"/>
    <col min="4" max="4" width="18.42578125" style="41" customWidth="1"/>
    <col min="5" max="5" width="2.5703125" style="4" customWidth="1"/>
    <col min="6" max="7" width="15.28515625" style="4" customWidth="1"/>
    <col min="8" max="8" width="21.85546875" style="4" bestFit="1" customWidth="1"/>
    <col min="9" max="9" width="17.42578125" style="4" customWidth="1"/>
    <col min="10" max="10" width="15.7109375" style="4" customWidth="1"/>
    <col min="11" max="11" width="14.5703125" style="4" customWidth="1"/>
    <col min="12" max="12" width="15.28515625" style="4" bestFit="1" customWidth="1"/>
    <col min="13" max="16384" width="9.140625" style="4"/>
  </cols>
  <sheetData>
    <row r="1" spans="1:615" ht="13.5" customHeight="1" thickBot="1" x14ac:dyDescent="0.25"/>
    <row r="2" spans="1:615" x14ac:dyDescent="0.2">
      <c r="A2" s="477" t="s">
        <v>139</v>
      </c>
      <c r="B2" s="478"/>
      <c r="C2" s="478"/>
      <c r="D2" s="478"/>
      <c r="E2" s="478"/>
      <c r="F2" s="478"/>
      <c r="G2" s="478"/>
      <c r="H2" s="479"/>
      <c r="I2" s="7"/>
      <c r="J2" s="7"/>
    </row>
    <row r="3" spans="1:615" ht="13.5" x14ac:dyDescent="0.25">
      <c r="A3" s="480" t="s">
        <v>91</v>
      </c>
      <c r="B3" s="481"/>
      <c r="C3" s="481"/>
      <c r="D3" s="481"/>
      <c r="E3" s="481"/>
      <c r="F3" s="481"/>
      <c r="G3" s="481"/>
      <c r="H3" s="482"/>
      <c r="I3" s="8"/>
      <c r="J3" s="8"/>
    </row>
    <row r="4" spans="1:615" x14ac:dyDescent="0.2">
      <c r="A4" s="483" t="s">
        <v>177</v>
      </c>
      <c r="B4" s="484"/>
      <c r="C4" s="484"/>
      <c r="D4" s="484"/>
      <c r="E4" s="484"/>
      <c r="F4" s="484"/>
      <c r="G4" s="484"/>
      <c r="H4" s="485"/>
    </row>
    <row r="5" spans="1:615" ht="13.5" thickBot="1" x14ac:dyDescent="0.25">
      <c r="A5" s="486" t="s">
        <v>1</v>
      </c>
      <c r="B5" s="487"/>
      <c r="C5" s="487"/>
      <c r="D5" s="487"/>
      <c r="E5" s="487"/>
      <c r="F5" s="487"/>
      <c r="G5" s="487"/>
      <c r="H5" s="488"/>
    </row>
    <row r="6" spans="1:615" ht="12.75" customHeight="1" x14ac:dyDescent="0.2">
      <c r="A6" s="492" t="s">
        <v>2</v>
      </c>
      <c r="B6" s="493" t="s">
        <v>178</v>
      </c>
      <c r="C6" s="494" t="s">
        <v>167</v>
      </c>
      <c r="D6" s="493" t="s">
        <v>54</v>
      </c>
      <c r="E6" s="203"/>
      <c r="F6" s="493" t="s">
        <v>178</v>
      </c>
      <c r="G6" s="494" t="s">
        <v>167</v>
      </c>
      <c r="H6" s="493" t="s">
        <v>54</v>
      </c>
    </row>
    <row r="7" spans="1:615" ht="12.75" customHeight="1" x14ac:dyDescent="0.2">
      <c r="A7" s="492"/>
      <c r="B7" s="493"/>
      <c r="C7" s="493"/>
      <c r="D7" s="493"/>
      <c r="E7" s="203"/>
      <c r="F7" s="493"/>
      <c r="G7" s="493"/>
      <c r="H7" s="493"/>
    </row>
    <row r="8" spans="1:615" ht="24.75" customHeight="1" thickBot="1" x14ac:dyDescent="0.25">
      <c r="A8" s="492"/>
      <c r="B8" s="493"/>
      <c r="C8" s="493"/>
      <c r="D8" s="493"/>
      <c r="E8" s="203"/>
      <c r="F8" s="493"/>
      <c r="G8" s="493"/>
      <c r="H8" s="493"/>
    </row>
    <row r="9" spans="1:615" s="108" customFormat="1" ht="13.5" thickBot="1" x14ac:dyDescent="0.25">
      <c r="A9" s="229"/>
      <c r="B9" s="489" t="s">
        <v>3</v>
      </c>
      <c r="C9" s="490"/>
      <c r="D9" s="491"/>
      <c r="E9" s="220"/>
      <c r="F9" s="489" t="s">
        <v>15</v>
      </c>
      <c r="G9" s="490"/>
      <c r="H9" s="491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  <c r="IW9" s="203"/>
      <c r="IX9" s="203"/>
      <c r="IY9" s="203"/>
      <c r="IZ9" s="203"/>
      <c r="JA9" s="203"/>
      <c r="JB9" s="203"/>
      <c r="JC9" s="203"/>
      <c r="JD9" s="203"/>
      <c r="JE9" s="203"/>
      <c r="JF9" s="203"/>
      <c r="JG9" s="203"/>
      <c r="JH9" s="203"/>
      <c r="JI9" s="203"/>
      <c r="JJ9" s="203"/>
      <c r="JK9" s="203"/>
      <c r="JL9" s="203"/>
      <c r="JM9" s="203"/>
      <c r="JN9" s="203"/>
      <c r="JO9" s="203"/>
      <c r="JP9" s="203"/>
      <c r="JQ9" s="203"/>
      <c r="JR9" s="203"/>
      <c r="JS9" s="203"/>
      <c r="JT9" s="203"/>
      <c r="JU9" s="203"/>
      <c r="JV9" s="203"/>
      <c r="JW9" s="203"/>
      <c r="JX9" s="203"/>
      <c r="JY9" s="203"/>
      <c r="JZ9" s="203"/>
      <c r="KA9" s="203"/>
      <c r="KB9" s="203"/>
      <c r="KC9" s="203"/>
      <c r="KD9" s="203"/>
      <c r="KE9" s="203"/>
      <c r="KF9" s="203"/>
      <c r="KG9" s="203"/>
      <c r="KH9" s="203"/>
      <c r="KI9" s="203"/>
      <c r="KJ9" s="203"/>
      <c r="KK9" s="203"/>
      <c r="KL9" s="203"/>
      <c r="KM9" s="203"/>
      <c r="KN9" s="203"/>
      <c r="KO9" s="203"/>
      <c r="KP9" s="203"/>
      <c r="KQ9" s="203"/>
      <c r="KR9" s="203"/>
      <c r="KS9" s="203"/>
      <c r="KT9" s="203"/>
      <c r="KU9" s="203"/>
      <c r="KV9" s="203"/>
      <c r="KW9" s="203"/>
      <c r="KX9" s="203"/>
      <c r="KY9" s="203"/>
      <c r="KZ9" s="203"/>
      <c r="LA9" s="203"/>
      <c r="LB9" s="203"/>
      <c r="LC9" s="203"/>
      <c r="LD9" s="203"/>
      <c r="LE9" s="203"/>
      <c r="LF9" s="203"/>
      <c r="LG9" s="203"/>
      <c r="LH9" s="203"/>
      <c r="LI9" s="203"/>
      <c r="LJ9" s="203"/>
      <c r="LK9" s="203"/>
      <c r="LL9" s="203"/>
      <c r="LM9" s="203"/>
      <c r="LN9" s="203"/>
      <c r="LO9" s="203"/>
      <c r="LP9" s="203"/>
      <c r="LQ9" s="203"/>
      <c r="LR9" s="203"/>
      <c r="LS9" s="203"/>
      <c r="LT9" s="203"/>
      <c r="LU9" s="203"/>
      <c r="LV9" s="203"/>
      <c r="LW9" s="203"/>
      <c r="LX9" s="203"/>
      <c r="LY9" s="203"/>
      <c r="LZ9" s="203"/>
      <c r="MA9" s="203"/>
      <c r="MB9" s="203"/>
      <c r="MC9" s="203"/>
      <c r="MD9" s="203"/>
      <c r="ME9" s="203"/>
      <c r="MF9" s="203"/>
      <c r="MG9" s="203"/>
      <c r="MH9" s="203"/>
      <c r="MI9" s="203"/>
      <c r="MJ9" s="203"/>
      <c r="MK9" s="203"/>
      <c r="ML9" s="203"/>
      <c r="MM9" s="203"/>
      <c r="MN9" s="203"/>
      <c r="MO9" s="203"/>
      <c r="MP9" s="203"/>
      <c r="MQ9" s="203"/>
      <c r="MR9" s="203"/>
      <c r="MS9" s="203"/>
      <c r="MT9" s="203"/>
      <c r="MU9" s="203"/>
      <c r="MV9" s="203"/>
      <c r="MW9" s="203"/>
      <c r="MX9" s="203"/>
      <c r="MY9" s="203"/>
      <c r="MZ9" s="203"/>
      <c r="NA9" s="203"/>
      <c r="NB9" s="203"/>
      <c r="NC9" s="203"/>
      <c r="ND9" s="203"/>
      <c r="NE9" s="203"/>
      <c r="NF9" s="203"/>
      <c r="NG9" s="203"/>
      <c r="NH9" s="203"/>
      <c r="NI9" s="203"/>
      <c r="NJ9" s="203"/>
      <c r="NK9" s="203"/>
      <c r="NL9" s="203"/>
      <c r="NM9" s="203"/>
      <c r="NN9" s="203"/>
      <c r="NO9" s="203"/>
      <c r="NP9" s="203"/>
      <c r="NQ9" s="203"/>
      <c r="NR9" s="203"/>
      <c r="NS9" s="203"/>
      <c r="NT9" s="203"/>
      <c r="NU9" s="203"/>
      <c r="NV9" s="203"/>
      <c r="NW9" s="203"/>
      <c r="NX9" s="203"/>
      <c r="NY9" s="203"/>
      <c r="NZ9" s="203"/>
      <c r="OA9" s="203"/>
      <c r="OB9" s="203"/>
      <c r="OC9" s="203"/>
      <c r="OD9" s="203"/>
      <c r="OE9" s="203"/>
      <c r="OF9" s="203"/>
      <c r="OG9" s="203"/>
      <c r="OH9" s="203"/>
      <c r="OI9" s="203"/>
      <c r="OJ9" s="203"/>
      <c r="OK9" s="203"/>
      <c r="OL9" s="203"/>
      <c r="OM9" s="203"/>
      <c r="ON9" s="203"/>
      <c r="OO9" s="203"/>
      <c r="OP9" s="203"/>
      <c r="OQ9" s="203"/>
      <c r="OR9" s="203"/>
      <c r="OS9" s="203"/>
      <c r="OT9" s="203"/>
      <c r="OU9" s="203"/>
      <c r="OV9" s="203"/>
      <c r="OW9" s="203"/>
      <c r="OX9" s="203"/>
      <c r="OY9" s="203"/>
      <c r="OZ9" s="203"/>
      <c r="PA9" s="203"/>
      <c r="PB9" s="203"/>
      <c r="PC9" s="203"/>
      <c r="PD9" s="203"/>
      <c r="PE9" s="203"/>
      <c r="PF9" s="203"/>
      <c r="PG9" s="203"/>
      <c r="PH9" s="203"/>
      <c r="PI9" s="203"/>
      <c r="PJ9" s="203"/>
      <c r="PK9" s="203"/>
      <c r="PL9" s="203"/>
      <c r="PM9" s="203"/>
      <c r="PN9" s="203"/>
      <c r="PO9" s="203"/>
      <c r="PP9" s="203"/>
      <c r="PQ9" s="203"/>
      <c r="PR9" s="203"/>
      <c r="PS9" s="203"/>
      <c r="PT9" s="203"/>
      <c r="PU9" s="203"/>
      <c r="PV9" s="203"/>
      <c r="PW9" s="203"/>
      <c r="PX9" s="203"/>
      <c r="PY9" s="203"/>
      <c r="PZ9" s="203"/>
      <c r="QA9" s="203"/>
      <c r="QB9" s="203"/>
      <c r="QC9" s="203"/>
      <c r="QD9" s="203"/>
      <c r="QE9" s="203"/>
      <c r="QF9" s="203"/>
      <c r="QG9" s="203"/>
      <c r="QH9" s="203"/>
      <c r="QI9" s="203"/>
      <c r="QJ9" s="203"/>
      <c r="QK9" s="203"/>
      <c r="QL9" s="203"/>
      <c r="QM9" s="203"/>
      <c r="QN9" s="203"/>
      <c r="QO9" s="203"/>
      <c r="QP9" s="203"/>
      <c r="QQ9" s="203"/>
      <c r="QR9" s="203"/>
      <c r="QS9" s="203"/>
      <c r="QT9" s="203"/>
      <c r="QU9" s="203"/>
      <c r="QV9" s="203"/>
      <c r="QW9" s="203"/>
      <c r="QX9" s="203"/>
      <c r="QY9" s="203"/>
      <c r="QZ9" s="203"/>
      <c r="RA9" s="203"/>
      <c r="RB9" s="203"/>
      <c r="RC9" s="203"/>
      <c r="RD9" s="203"/>
      <c r="RE9" s="203"/>
      <c r="RF9" s="203"/>
      <c r="RG9" s="203"/>
      <c r="RH9" s="203"/>
      <c r="RI9" s="203"/>
      <c r="RJ9" s="203"/>
      <c r="RK9" s="203"/>
      <c r="RL9" s="203"/>
      <c r="RM9" s="203"/>
      <c r="RN9" s="203"/>
      <c r="RO9" s="203"/>
      <c r="RP9" s="203"/>
      <c r="RQ9" s="203"/>
      <c r="RR9" s="203"/>
      <c r="RS9" s="203"/>
      <c r="RT9" s="203"/>
      <c r="RU9" s="203"/>
      <c r="RV9" s="203"/>
      <c r="RW9" s="203"/>
      <c r="RX9" s="203"/>
      <c r="RY9" s="203"/>
      <c r="RZ9" s="203"/>
      <c r="SA9" s="203"/>
      <c r="SB9" s="203"/>
      <c r="SC9" s="203"/>
      <c r="SD9" s="203"/>
      <c r="SE9" s="203"/>
      <c r="SF9" s="203"/>
      <c r="SG9" s="203"/>
      <c r="SH9" s="203"/>
      <c r="SI9" s="203"/>
      <c r="SJ9" s="203"/>
      <c r="SK9" s="203"/>
      <c r="SL9" s="203"/>
      <c r="SM9" s="203"/>
      <c r="SN9" s="203"/>
      <c r="SO9" s="203"/>
      <c r="SP9" s="203"/>
      <c r="SQ9" s="203"/>
      <c r="SR9" s="203"/>
      <c r="SS9" s="203"/>
      <c r="ST9" s="203"/>
      <c r="SU9" s="203"/>
      <c r="SV9" s="203"/>
      <c r="SW9" s="203"/>
      <c r="SX9" s="203"/>
      <c r="SY9" s="203"/>
      <c r="SZ9" s="203"/>
      <c r="TA9" s="203"/>
      <c r="TB9" s="203"/>
      <c r="TC9" s="203"/>
      <c r="TD9" s="203"/>
      <c r="TE9" s="203"/>
      <c r="TF9" s="203"/>
      <c r="TG9" s="203"/>
      <c r="TH9" s="203"/>
      <c r="TI9" s="203"/>
      <c r="TJ9" s="203"/>
      <c r="TK9" s="203"/>
      <c r="TL9" s="203"/>
      <c r="TM9" s="203"/>
      <c r="TN9" s="203"/>
      <c r="TO9" s="203"/>
      <c r="TP9" s="203"/>
      <c r="TQ9" s="203"/>
      <c r="TR9" s="203"/>
      <c r="TS9" s="203"/>
      <c r="TT9" s="203"/>
      <c r="TU9" s="203"/>
      <c r="TV9" s="203"/>
      <c r="TW9" s="203"/>
      <c r="TX9" s="203"/>
      <c r="TY9" s="203"/>
      <c r="TZ9" s="203"/>
      <c r="UA9" s="203"/>
      <c r="UB9" s="203"/>
      <c r="UC9" s="203"/>
      <c r="UD9" s="203"/>
      <c r="UE9" s="203"/>
      <c r="UF9" s="203"/>
      <c r="UG9" s="203"/>
      <c r="UH9" s="203"/>
      <c r="UI9" s="203"/>
      <c r="UJ9" s="203"/>
      <c r="UK9" s="203"/>
      <c r="UL9" s="203"/>
      <c r="UM9" s="203"/>
      <c r="UN9" s="203"/>
      <c r="UO9" s="203"/>
      <c r="UP9" s="203"/>
      <c r="UQ9" s="203"/>
      <c r="UR9" s="203"/>
      <c r="US9" s="203"/>
      <c r="UT9" s="203"/>
      <c r="UU9" s="203"/>
      <c r="UV9" s="203"/>
      <c r="UW9" s="203"/>
      <c r="UX9" s="203"/>
      <c r="UY9" s="203"/>
      <c r="UZ9" s="203"/>
      <c r="VA9" s="203"/>
      <c r="VB9" s="203"/>
      <c r="VC9" s="203"/>
      <c r="VD9" s="203"/>
      <c r="VE9" s="203"/>
      <c r="VF9" s="203"/>
      <c r="VG9" s="203"/>
      <c r="VH9" s="203"/>
      <c r="VI9" s="203"/>
      <c r="VJ9" s="203"/>
      <c r="VK9" s="203"/>
      <c r="VL9" s="203"/>
      <c r="VM9" s="203"/>
      <c r="VN9" s="203"/>
      <c r="VO9" s="203"/>
      <c r="VP9" s="203"/>
      <c r="VQ9" s="203"/>
      <c r="VR9" s="203"/>
      <c r="VS9" s="203"/>
      <c r="VT9" s="203"/>
      <c r="VU9" s="203"/>
      <c r="VV9" s="203"/>
      <c r="VW9" s="203"/>
      <c r="VX9" s="203"/>
      <c r="VY9" s="203"/>
      <c r="VZ9" s="203"/>
      <c r="WA9" s="203"/>
      <c r="WB9" s="203"/>
      <c r="WC9" s="203"/>
      <c r="WD9" s="203"/>
      <c r="WE9" s="203"/>
      <c r="WF9" s="203"/>
      <c r="WG9" s="203"/>
      <c r="WH9" s="203"/>
      <c r="WI9" s="203"/>
      <c r="WJ9" s="203"/>
      <c r="WK9" s="203"/>
      <c r="WL9" s="203"/>
      <c r="WM9" s="203"/>
      <c r="WN9" s="203"/>
      <c r="WO9" s="203"/>
      <c r="WP9" s="203"/>
      <c r="WQ9" s="203"/>
    </row>
    <row r="10" spans="1:615" x14ac:dyDescent="0.2">
      <c r="A10" s="58"/>
      <c r="B10" s="59"/>
      <c r="C10" s="59"/>
      <c r="D10" s="60"/>
      <c r="E10" s="203"/>
      <c r="F10" s="59"/>
      <c r="G10" s="59"/>
      <c r="H10" s="60"/>
    </row>
    <row r="11" spans="1:615" x14ac:dyDescent="0.2">
      <c r="A11" s="58" t="s">
        <v>40</v>
      </c>
      <c r="B11" s="61"/>
      <c r="C11" s="61"/>
      <c r="D11" s="60"/>
      <c r="E11" s="203"/>
      <c r="F11" s="61"/>
      <c r="G11" s="61"/>
      <c r="H11" s="60"/>
    </row>
    <row r="12" spans="1:615" x14ac:dyDescent="0.2">
      <c r="A12" s="58"/>
      <c r="B12" s="61"/>
      <c r="C12" s="61"/>
      <c r="D12" s="60"/>
      <c r="E12" s="203"/>
      <c r="F12" s="61"/>
      <c r="G12" s="61"/>
      <c r="H12" s="60"/>
    </row>
    <row r="13" spans="1:615" hidden="1" x14ac:dyDescent="0.2">
      <c r="A13" s="58" t="s">
        <v>71</v>
      </c>
      <c r="B13" s="61"/>
      <c r="C13" s="61"/>
      <c r="D13" s="60"/>
      <c r="E13" s="203"/>
      <c r="F13" s="61"/>
      <c r="G13" s="61"/>
      <c r="H13" s="60"/>
    </row>
    <row r="14" spans="1:615" hidden="1" x14ac:dyDescent="0.2">
      <c r="A14" s="62" t="s">
        <v>73</v>
      </c>
      <c r="B14" s="133">
        <v>0</v>
      </c>
      <c r="C14" s="134">
        <f t="shared" ref="C14:D15" si="0">B14</f>
        <v>0</v>
      </c>
      <c r="D14" s="135">
        <f t="shared" si="0"/>
        <v>0</v>
      </c>
      <c r="E14" s="221"/>
      <c r="F14" s="141">
        <v>0</v>
      </c>
      <c r="G14" s="142">
        <f>F14</f>
        <v>0</v>
      </c>
      <c r="H14" s="143">
        <f>G14</f>
        <v>0</v>
      </c>
      <c r="I14" s="109"/>
      <c r="J14" s="124"/>
    </row>
    <row r="15" spans="1:615" hidden="1" x14ac:dyDescent="0.2">
      <c r="A15" s="62" t="s">
        <v>74</v>
      </c>
      <c r="B15" s="137">
        <v>0</v>
      </c>
      <c r="C15" s="138">
        <f t="shared" si="0"/>
        <v>0</v>
      </c>
      <c r="D15" s="139">
        <f t="shared" si="0"/>
        <v>0</v>
      </c>
      <c r="E15" s="224"/>
      <c r="F15" s="146">
        <v>0</v>
      </c>
      <c r="G15" s="147">
        <f>F15</f>
        <v>0</v>
      </c>
      <c r="H15" s="148">
        <f>G15</f>
        <v>0</v>
      </c>
      <c r="I15" s="109"/>
      <c r="J15" s="125"/>
    </row>
    <row r="16" spans="1:615" s="8" customFormat="1" ht="13.5" hidden="1" x14ac:dyDescent="0.25">
      <c r="A16" s="149" t="s">
        <v>75</v>
      </c>
      <c r="B16" s="150">
        <f>SUM(B14:B15)</f>
        <v>0</v>
      </c>
      <c r="C16" s="151">
        <f t="shared" ref="C16:D16" si="1">SUM(C14:C15)</f>
        <v>0</v>
      </c>
      <c r="D16" s="152">
        <f t="shared" si="1"/>
        <v>0</v>
      </c>
      <c r="E16" s="223"/>
      <c r="F16" s="153">
        <f>SUM(F14:F15)</f>
        <v>0</v>
      </c>
      <c r="G16" s="154">
        <f t="shared" ref="G16:H16" si="2">SUM(G14:G15)</f>
        <v>0</v>
      </c>
      <c r="H16" s="155">
        <f t="shared" si="2"/>
        <v>0</v>
      </c>
      <c r="I16" s="156"/>
      <c r="J16" s="157"/>
    </row>
    <row r="17" spans="1:10" x14ac:dyDescent="0.2">
      <c r="A17" s="62"/>
      <c r="B17" s="83"/>
      <c r="C17" s="83"/>
      <c r="D17" s="136"/>
      <c r="E17" s="222"/>
      <c r="F17" s="144"/>
      <c r="G17" s="140"/>
      <c r="H17" s="145"/>
      <c r="I17" s="109"/>
      <c r="J17" s="125"/>
    </row>
    <row r="18" spans="1:10" x14ac:dyDescent="0.2">
      <c r="A18" s="161" t="s">
        <v>72</v>
      </c>
      <c r="B18" s="167"/>
      <c r="C18" s="167"/>
      <c r="D18" s="168"/>
      <c r="E18" s="264"/>
      <c r="F18" s="169"/>
      <c r="G18" s="170"/>
      <c r="H18" s="171"/>
      <c r="I18" s="109"/>
    </row>
    <row r="19" spans="1:10" x14ac:dyDescent="0.2">
      <c r="A19" s="162" t="s">
        <v>92</v>
      </c>
      <c r="B19" s="167">
        <v>1654702012</v>
      </c>
      <c r="C19" s="167">
        <f>+B19+318229117</f>
        <v>1972931129</v>
      </c>
      <c r="D19" s="168">
        <f>261836206+981931558+C19</f>
        <v>3216698893</v>
      </c>
      <c r="E19" s="264"/>
      <c r="F19" s="170">
        <v>5951001</v>
      </c>
      <c r="G19" s="170">
        <f>F19+1128268</f>
        <v>7079269</v>
      </c>
      <c r="H19" s="171">
        <f>1660864+4182099+G19</f>
        <v>12922232</v>
      </c>
      <c r="I19" s="109"/>
    </row>
    <row r="20" spans="1:10" x14ac:dyDescent="0.2">
      <c r="A20" s="162" t="s">
        <v>93</v>
      </c>
      <c r="B20" s="172">
        <v>1198232616</v>
      </c>
      <c r="C20" s="172">
        <f>+B20+238325480</f>
        <v>1436558096</v>
      </c>
      <c r="D20" s="173">
        <f>189606377+638336477+C20</f>
        <v>2264500950</v>
      </c>
      <c r="E20" s="264"/>
      <c r="F20" s="174">
        <f>4309346</f>
        <v>4309346</v>
      </c>
      <c r="G20" s="175">
        <f>F20+844973</f>
        <v>5154319</v>
      </c>
      <c r="H20" s="176">
        <f>1202700+2697807+G20</f>
        <v>9054826</v>
      </c>
    </row>
    <row r="21" spans="1:10" s="8" customFormat="1" ht="13.5" x14ac:dyDescent="0.25">
      <c r="A21" s="163" t="s">
        <v>76</v>
      </c>
      <c r="B21" s="166">
        <f>SUM(B19:B20)</f>
        <v>2852934628</v>
      </c>
      <c r="C21" s="177">
        <f t="shared" ref="C21" si="3">SUM(C19:C20)</f>
        <v>3409489225</v>
      </c>
      <c r="D21" s="178">
        <f t="shared" ref="D21" si="4">SUM(D19:D20)</f>
        <v>5481199843</v>
      </c>
      <c r="E21" s="265"/>
      <c r="F21" s="179">
        <f>SUM(F19:F20)</f>
        <v>10260347</v>
      </c>
      <c r="G21" s="344">
        <f t="shared" ref="G21" si="5">SUM(G19:G20)</f>
        <v>12233588</v>
      </c>
      <c r="H21" s="345">
        <f t="shared" ref="H21" si="6">SUM(H19:H20)</f>
        <v>21977058</v>
      </c>
    </row>
    <row r="22" spans="1:10" x14ac:dyDescent="0.2">
      <c r="A22" s="162"/>
      <c r="B22" s="164"/>
      <c r="C22" s="167"/>
      <c r="D22" s="168"/>
      <c r="E22" s="264"/>
      <c r="F22" s="164"/>
      <c r="G22" s="167"/>
      <c r="H22" s="168"/>
    </row>
    <row r="23" spans="1:10" hidden="1" x14ac:dyDescent="0.2">
      <c r="A23" s="162" t="s">
        <v>77</v>
      </c>
      <c r="B23" s="164">
        <v>0</v>
      </c>
      <c r="C23" s="167">
        <f t="shared" ref="C23:C26" si="7">B23</f>
        <v>0</v>
      </c>
      <c r="D23" s="168">
        <f t="shared" ref="D23:D26" si="8">C23</f>
        <v>0</v>
      </c>
      <c r="E23" s="264"/>
      <c r="F23" s="169">
        <v>0</v>
      </c>
      <c r="G23" s="170">
        <f>F23</f>
        <v>0</v>
      </c>
      <c r="H23" s="171">
        <f>G23</f>
        <v>0</v>
      </c>
    </row>
    <row r="24" spans="1:10" hidden="1" x14ac:dyDescent="0.2">
      <c r="A24" s="162" t="s">
        <v>90</v>
      </c>
      <c r="B24" s="164">
        <v>0</v>
      </c>
      <c r="C24" s="167">
        <f t="shared" si="7"/>
        <v>0</v>
      </c>
      <c r="D24" s="168">
        <f t="shared" si="8"/>
        <v>0</v>
      </c>
      <c r="E24" s="264"/>
      <c r="F24" s="169">
        <v>0</v>
      </c>
      <c r="G24" s="170">
        <f t="shared" ref="G24:H24" si="9">F24</f>
        <v>0</v>
      </c>
      <c r="H24" s="171">
        <f t="shared" si="9"/>
        <v>0</v>
      </c>
    </row>
    <row r="25" spans="1:10" x14ac:dyDescent="0.2">
      <c r="A25" s="162" t="s">
        <v>94</v>
      </c>
      <c r="B25" s="164">
        <v>0</v>
      </c>
      <c r="C25" s="167">
        <f t="shared" si="7"/>
        <v>0</v>
      </c>
      <c r="D25" s="168">
        <f t="shared" si="8"/>
        <v>0</v>
      </c>
      <c r="E25" s="264"/>
      <c r="F25" s="169">
        <v>0</v>
      </c>
      <c r="G25" s="170">
        <f t="shared" ref="G25" si="10">F25</f>
        <v>0</v>
      </c>
      <c r="H25" s="171">
        <f>0</f>
        <v>0</v>
      </c>
    </row>
    <row r="26" spans="1:10" x14ac:dyDescent="0.2">
      <c r="A26" s="162" t="s">
        <v>95</v>
      </c>
      <c r="B26" s="165">
        <v>0</v>
      </c>
      <c r="C26" s="172">
        <f t="shared" si="7"/>
        <v>0</v>
      </c>
      <c r="D26" s="173">
        <f t="shared" si="8"/>
        <v>0</v>
      </c>
      <c r="E26" s="266"/>
      <c r="F26" s="174">
        <v>0</v>
      </c>
      <c r="G26" s="175">
        <f>F26</f>
        <v>0</v>
      </c>
      <c r="H26" s="176">
        <f>0</f>
        <v>0</v>
      </c>
    </row>
    <row r="27" spans="1:10" s="8" customFormat="1" ht="13.5" x14ac:dyDescent="0.25">
      <c r="A27" s="163" t="s">
        <v>78</v>
      </c>
      <c r="B27" s="166">
        <f>SUM(B23:B26)</f>
        <v>0</v>
      </c>
      <c r="C27" s="177">
        <f>SUM(C23:C26)</f>
        <v>0</v>
      </c>
      <c r="D27" s="178">
        <f t="shared" ref="D27" si="11">SUM(D23:D26)</f>
        <v>0</v>
      </c>
      <c r="E27" s="267"/>
      <c r="F27" s="179">
        <f>SUM(F23:F26)</f>
        <v>0</v>
      </c>
      <c r="G27" s="180">
        <f t="shared" ref="G27" si="12">SUM(G23:G26)</f>
        <v>0</v>
      </c>
      <c r="H27" s="181">
        <f t="shared" ref="H27" si="13">SUM(H23:H26)</f>
        <v>0</v>
      </c>
    </row>
    <row r="28" spans="1:10" ht="13.5" thickBot="1" x14ac:dyDescent="0.25">
      <c r="A28" s="162"/>
      <c r="B28" s="164"/>
      <c r="C28" s="167"/>
      <c r="D28" s="168"/>
      <c r="E28" s="268"/>
      <c r="F28" s="164"/>
      <c r="G28" s="167"/>
      <c r="H28" s="168"/>
    </row>
    <row r="29" spans="1:10" ht="13.5" thickBot="1" x14ac:dyDescent="0.25">
      <c r="A29" s="269" t="s">
        <v>44</v>
      </c>
      <c r="B29" s="235">
        <f>B16+B21+B27</f>
        <v>2852934628</v>
      </c>
      <c r="C29" s="235">
        <f t="shared" ref="C29:D29" si="14">C16+C21+C27</f>
        <v>3409489225</v>
      </c>
      <c r="D29" s="235">
        <f t="shared" si="14"/>
        <v>5481199843</v>
      </c>
      <c r="E29" s="270"/>
      <c r="F29" s="237">
        <f>F16+F21+F27</f>
        <v>10260347</v>
      </c>
      <c r="G29" s="237">
        <f t="shared" ref="G29:H29" si="15">G16+G21+G27</f>
        <v>12233588</v>
      </c>
      <c r="H29" s="238">
        <f t="shared" si="15"/>
        <v>21977058</v>
      </c>
    </row>
    <row r="30" spans="1:10" x14ac:dyDescent="0.2">
      <c r="A30" s="64"/>
      <c r="B30" s="63"/>
      <c r="C30" s="63"/>
      <c r="D30" s="63"/>
      <c r="E30" s="206"/>
      <c r="F30" s="63"/>
      <c r="G30" s="63"/>
      <c r="H30" s="63"/>
    </row>
    <row r="31" spans="1:10" x14ac:dyDescent="0.2">
      <c r="A31" s="161" t="s">
        <v>108</v>
      </c>
      <c r="B31" s="182"/>
      <c r="C31" s="182"/>
      <c r="D31" s="182"/>
      <c r="E31" s="206"/>
      <c r="F31" s="182"/>
      <c r="G31" s="182"/>
      <c r="H31" s="182"/>
    </row>
    <row r="32" spans="1:10" x14ac:dyDescent="0.2">
      <c r="A32" s="298" t="s">
        <v>128</v>
      </c>
      <c r="B32" s="182"/>
      <c r="C32" s="182"/>
      <c r="D32" s="182"/>
      <c r="E32" s="206"/>
      <c r="F32" s="182"/>
      <c r="G32" s="182"/>
      <c r="H32" s="182"/>
    </row>
    <row r="33" spans="1:11" ht="30" customHeight="1" x14ac:dyDescent="0.2">
      <c r="A33" s="183" t="s">
        <v>155</v>
      </c>
      <c r="B33" s="232"/>
      <c r="C33" s="182"/>
      <c r="D33" s="182"/>
      <c r="E33" s="206"/>
      <c r="F33" s="182"/>
      <c r="G33" s="182"/>
      <c r="H33" s="182"/>
      <c r="I33" s="66"/>
    </row>
    <row r="34" spans="1:11" x14ac:dyDescent="0.2">
      <c r="A34" s="184" t="s">
        <v>79</v>
      </c>
      <c r="B34" s="185">
        <v>24628428</v>
      </c>
      <c r="C34" s="233">
        <f>0+B34</f>
        <v>24628428</v>
      </c>
      <c r="D34" s="185">
        <f>15243552+3275733+C34</f>
        <v>43147713</v>
      </c>
      <c r="E34" s="214"/>
      <c r="F34" s="342">
        <v>104087.34</v>
      </c>
      <c r="G34" s="198">
        <f>F34+0</f>
        <v>104087.34</v>
      </c>
      <c r="H34" s="406">
        <f>117470+G34</f>
        <v>221557.34</v>
      </c>
      <c r="I34" s="66"/>
    </row>
    <row r="35" spans="1:11" x14ac:dyDescent="0.2">
      <c r="A35" s="184" t="s">
        <v>80</v>
      </c>
      <c r="B35" s="186">
        <v>2243155</v>
      </c>
      <c r="C35" s="189">
        <f>0+B35</f>
        <v>2243155</v>
      </c>
      <c r="D35" s="186">
        <f>0+0+C35</f>
        <v>2243155</v>
      </c>
      <c r="E35" s="214"/>
      <c r="F35" s="343">
        <f>9480.27</f>
        <v>9480.27</v>
      </c>
      <c r="G35" s="187">
        <f>F35+0</f>
        <v>9480.27</v>
      </c>
      <c r="H35" s="407">
        <f>0+G35</f>
        <v>9480.27</v>
      </c>
      <c r="I35" s="66"/>
    </row>
    <row r="36" spans="1:11" x14ac:dyDescent="0.2">
      <c r="A36" s="184" t="s">
        <v>38</v>
      </c>
      <c r="B36" s="186">
        <v>147968172</v>
      </c>
      <c r="C36" s="189">
        <f>0+B36</f>
        <v>147968172</v>
      </c>
      <c r="D36" s="186">
        <f>0+0+C36</f>
        <v>147968172</v>
      </c>
      <c r="E36" s="214"/>
      <c r="F36" s="343">
        <f>625359.17</f>
        <v>625359.17000000004</v>
      </c>
      <c r="G36" s="187">
        <f>F36+0</f>
        <v>625359.17000000004</v>
      </c>
      <c r="H36" s="407">
        <f>0+G36</f>
        <v>625359.17000000004</v>
      </c>
      <c r="I36" s="337"/>
      <c r="J36" s="125"/>
      <c r="K36" s="6"/>
    </row>
    <row r="37" spans="1:11" x14ac:dyDescent="0.2">
      <c r="A37" s="184" t="s">
        <v>39</v>
      </c>
      <c r="B37" s="186">
        <v>209405924</v>
      </c>
      <c r="C37" s="189">
        <f>+B37+34868139</f>
        <v>244274063</v>
      </c>
      <c r="D37" s="186">
        <f>30931425+111137491+C37</f>
        <v>386342979</v>
      </c>
      <c r="E37" s="214"/>
      <c r="F37" s="343">
        <f>885014.07</f>
        <v>885014.07</v>
      </c>
      <c r="G37" s="187">
        <f>F37+150104</f>
        <v>1035118.07</v>
      </c>
      <c r="H37" s="407">
        <f>901163+G37</f>
        <v>1936281.0699999998</v>
      </c>
      <c r="I37" s="337"/>
      <c r="J37" s="125"/>
      <c r="K37" s="6"/>
    </row>
    <row r="38" spans="1:11" x14ac:dyDescent="0.2">
      <c r="A38" s="184" t="s">
        <v>57</v>
      </c>
      <c r="B38" s="186">
        <v>746465</v>
      </c>
      <c r="C38" s="189">
        <f>+B38+292013</f>
        <v>1038478</v>
      </c>
      <c r="D38" s="186">
        <f>458907+608558+C38</f>
        <v>2105943</v>
      </c>
      <c r="E38" s="214"/>
      <c r="F38" s="343">
        <f>3154.79</f>
        <v>3154.79</v>
      </c>
      <c r="G38" s="187">
        <f>F38+1456</f>
        <v>4610.79</v>
      </c>
      <c r="H38" s="407">
        <f>6771+G38</f>
        <v>11381.79</v>
      </c>
      <c r="I38" s="337"/>
      <c r="J38" s="125"/>
      <c r="K38" s="6"/>
    </row>
    <row r="39" spans="1:11" x14ac:dyDescent="0.2">
      <c r="A39" s="188" t="s">
        <v>66</v>
      </c>
      <c r="B39" s="208">
        <v>12782092</v>
      </c>
      <c r="C39" s="189">
        <f>B39+7525907</f>
        <v>20307999</v>
      </c>
      <c r="D39" s="208">
        <f>5131437+18188693+C39</f>
        <v>43628129</v>
      </c>
      <c r="E39" s="214"/>
      <c r="F39" s="405">
        <f>54021.07</f>
        <v>54021.07</v>
      </c>
      <c r="G39" s="200">
        <f>F39+38942</f>
        <v>92963.07</v>
      </c>
      <c r="H39" s="408">
        <f>147924+G39</f>
        <v>240887.07</v>
      </c>
      <c r="I39" s="337"/>
      <c r="J39" s="125"/>
      <c r="K39" s="6"/>
    </row>
    <row r="40" spans="1:11" ht="13.5" x14ac:dyDescent="0.2">
      <c r="A40" s="190" t="s">
        <v>83</v>
      </c>
      <c r="B40" s="191">
        <f>SUM(B34:B39)</f>
        <v>397774236</v>
      </c>
      <c r="C40" s="191">
        <f t="shared" ref="C40:D40" si="16">SUM(C34:C39)</f>
        <v>440460295</v>
      </c>
      <c r="D40" s="209">
        <f t="shared" si="16"/>
        <v>625436091</v>
      </c>
      <c r="E40" s="215"/>
      <c r="F40" s="191">
        <f t="shared" ref="F40:H40" si="17">SUM(F34:F39)</f>
        <v>1681116.7100000002</v>
      </c>
      <c r="G40" s="409">
        <f t="shared" si="17"/>
        <v>1871618.7100000002</v>
      </c>
      <c r="H40" s="209">
        <f t="shared" si="17"/>
        <v>3044946.7099999995</v>
      </c>
      <c r="I40" s="424"/>
      <c r="J40" s="424"/>
      <c r="K40" s="424"/>
    </row>
    <row r="41" spans="1:11" ht="13.5" x14ac:dyDescent="0.2">
      <c r="A41" s="190"/>
      <c r="B41" s="192"/>
      <c r="C41" s="192"/>
      <c r="D41" s="192"/>
      <c r="E41" s="206"/>
      <c r="F41" s="193"/>
      <c r="G41" s="193"/>
      <c r="H41" s="193"/>
      <c r="I41" s="66"/>
    </row>
    <row r="42" spans="1:11" ht="30" customHeight="1" x14ac:dyDescent="0.2">
      <c r="A42" s="183" t="s">
        <v>156</v>
      </c>
      <c r="B42" s="232"/>
      <c r="C42" s="182"/>
      <c r="D42" s="182"/>
      <c r="E42" s="206"/>
      <c r="F42" s="182"/>
      <c r="G42" s="182"/>
      <c r="H42" s="182"/>
      <c r="I42" s="66"/>
    </row>
    <row r="43" spans="1:11" x14ac:dyDescent="0.2">
      <c r="A43" s="184" t="s">
        <v>79</v>
      </c>
      <c r="B43" s="430">
        <v>630000</v>
      </c>
      <c r="C43" s="431">
        <f>B43+0</f>
        <v>630000</v>
      </c>
      <c r="D43" s="431">
        <f t="shared" ref="D43:D48" si="18">0+0+C43</f>
        <v>630000</v>
      </c>
      <c r="E43" s="214"/>
      <c r="F43" s="342">
        <f>2662.574</f>
        <v>2662.5740000000001</v>
      </c>
      <c r="G43" s="301">
        <f>F43+0</f>
        <v>2662.5740000000001</v>
      </c>
      <c r="H43" s="432">
        <f t="shared" ref="H43:H48" si="19">0+G43</f>
        <v>2662.5740000000001</v>
      </c>
      <c r="I43" s="66"/>
    </row>
    <row r="44" spans="1:11" x14ac:dyDescent="0.2">
      <c r="A44" s="184" t="s">
        <v>80</v>
      </c>
      <c r="B44" s="425">
        <f>0</f>
        <v>0</v>
      </c>
      <c r="C44" s="427">
        <f t="shared" ref="C44:C48" si="20">B44+0</f>
        <v>0</v>
      </c>
      <c r="D44" s="427">
        <f t="shared" si="18"/>
        <v>0</v>
      </c>
      <c r="E44" s="214"/>
      <c r="F44" s="343">
        <v>0</v>
      </c>
      <c r="G44" s="199">
        <f t="shared" ref="G44:G48" si="21">F44+0</f>
        <v>0</v>
      </c>
      <c r="H44" s="407">
        <f t="shared" si="19"/>
        <v>0</v>
      </c>
      <c r="I44" s="66"/>
    </row>
    <row r="45" spans="1:11" x14ac:dyDescent="0.2">
      <c r="A45" s="184" t="s">
        <v>38</v>
      </c>
      <c r="B45" s="425">
        <f>0</f>
        <v>0</v>
      </c>
      <c r="C45" s="427">
        <f t="shared" si="20"/>
        <v>0</v>
      </c>
      <c r="D45" s="427">
        <f t="shared" si="18"/>
        <v>0</v>
      </c>
      <c r="E45" s="214"/>
      <c r="F45" s="343">
        <v>0</v>
      </c>
      <c r="G45" s="199">
        <f t="shared" si="21"/>
        <v>0</v>
      </c>
      <c r="H45" s="407">
        <f t="shared" si="19"/>
        <v>0</v>
      </c>
      <c r="I45" s="66"/>
    </row>
    <row r="46" spans="1:11" x14ac:dyDescent="0.2">
      <c r="A46" s="184" t="s">
        <v>39</v>
      </c>
      <c r="B46" s="425">
        <v>0</v>
      </c>
      <c r="C46" s="427">
        <f t="shared" si="20"/>
        <v>0</v>
      </c>
      <c r="D46" s="427">
        <f t="shared" si="18"/>
        <v>0</v>
      </c>
      <c r="E46" s="214"/>
      <c r="F46" s="343">
        <v>0</v>
      </c>
      <c r="G46" s="199">
        <f t="shared" si="21"/>
        <v>0</v>
      </c>
      <c r="H46" s="407">
        <f t="shared" si="19"/>
        <v>0</v>
      </c>
      <c r="I46" s="66"/>
    </row>
    <row r="47" spans="1:11" x14ac:dyDescent="0.2">
      <c r="A47" s="184" t="s">
        <v>57</v>
      </c>
      <c r="B47" s="425">
        <f>0</f>
        <v>0</v>
      </c>
      <c r="C47" s="427">
        <f t="shared" si="20"/>
        <v>0</v>
      </c>
      <c r="D47" s="427">
        <f t="shared" si="18"/>
        <v>0</v>
      </c>
      <c r="E47" s="214"/>
      <c r="F47" s="343">
        <v>0</v>
      </c>
      <c r="G47" s="199">
        <f t="shared" si="21"/>
        <v>0</v>
      </c>
      <c r="H47" s="407">
        <f t="shared" si="19"/>
        <v>0</v>
      </c>
      <c r="I47" s="66"/>
    </row>
    <row r="48" spans="1:11" x14ac:dyDescent="0.2">
      <c r="A48" s="188" t="s">
        <v>66</v>
      </c>
      <c r="B48" s="426">
        <f>0</f>
        <v>0</v>
      </c>
      <c r="C48" s="428">
        <f t="shared" si="20"/>
        <v>0</v>
      </c>
      <c r="D48" s="428">
        <f t="shared" si="18"/>
        <v>0</v>
      </c>
      <c r="E48" s="214"/>
      <c r="F48" s="405">
        <v>0</v>
      </c>
      <c r="G48" s="201">
        <f t="shared" si="21"/>
        <v>0</v>
      </c>
      <c r="H48" s="408">
        <f t="shared" si="19"/>
        <v>0</v>
      </c>
      <c r="I48" s="66"/>
    </row>
    <row r="49" spans="1:11" ht="13.5" x14ac:dyDescent="0.2">
      <c r="A49" s="190" t="s">
        <v>110</v>
      </c>
      <c r="B49" s="409">
        <f>SUM(B43:B48)</f>
        <v>630000</v>
      </c>
      <c r="C49" s="409">
        <f t="shared" ref="C49:D49" si="22">SUM(C43:C48)</f>
        <v>630000</v>
      </c>
      <c r="D49" s="429">
        <f t="shared" si="22"/>
        <v>630000</v>
      </c>
      <c r="E49" s="215"/>
      <c r="F49" s="191">
        <f t="shared" ref="F49:H49" si="23">SUM(F43:F48)</f>
        <v>2662.5740000000001</v>
      </c>
      <c r="G49" s="409">
        <f t="shared" si="23"/>
        <v>2662.5740000000001</v>
      </c>
      <c r="H49" s="209">
        <f t="shared" si="23"/>
        <v>2662.5740000000001</v>
      </c>
      <c r="I49" s="66"/>
    </row>
    <row r="50" spans="1:11" ht="13.5" x14ac:dyDescent="0.2">
      <c r="A50" s="190"/>
      <c r="B50" s="192"/>
      <c r="C50" s="192"/>
      <c r="D50" s="192"/>
      <c r="E50" s="206"/>
      <c r="F50" s="192"/>
      <c r="G50" s="192"/>
      <c r="H50" s="192"/>
      <c r="I50" s="66"/>
    </row>
    <row r="51" spans="1:11" ht="27" x14ac:dyDescent="0.2">
      <c r="A51" s="183" t="s">
        <v>157</v>
      </c>
      <c r="B51" s="232"/>
      <c r="C51" s="182"/>
      <c r="D51" s="182"/>
      <c r="E51" s="206"/>
      <c r="F51" s="182"/>
      <c r="G51" s="182"/>
      <c r="H51" s="182"/>
      <c r="I51" s="66"/>
    </row>
    <row r="52" spans="1:11" x14ac:dyDescent="0.2">
      <c r="A52" s="184" t="s">
        <v>79</v>
      </c>
      <c r="B52" s="185">
        <f>0</f>
        <v>0</v>
      </c>
      <c r="C52" s="233">
        <f>B52</f>
        <v>0</v>
      </c>
      <c r="D52" s="185">
        <f t="shared" ref="D52:D57" si="24">0+0+C52</f>
        <v>0</v>
      </c>
      <c r="E52" s="214"/>
      <c r="F52" s="198">
        <v>0</v>
      </c>
      <c r="G52" s="301">
        <f t="shared" ref="G52:G57" si="25">F52</f>
        <v>0</v>
      </c>
      <c r="H52" s="367">
        <f t="shared" ref="H52:H57" si="26">0+G52</f>
        <v>0</v>
      </c>
      <c r="I52" s="66"/>
    </row>
    <row r="53" spans="1:11" x14ac:dyDescent="0.2">
      <c r="A53" s="184" t="s">
        <v>80</v>
      </c>
      <c r="B53" s="186">
        <f>0</f>
        <v>0</v>
      </c>
      <c r="C53" s="189">
        <f t="shared" ref="C53:C55" si="27">B53</f>
        <v>0</v>
      </c>
      <c r="D53" s="186">
        <f t="shared" si="24"/>
        <v>0</v>
      </c>
      <c r="E53" s="214"/>
      <c r="F53" s="187">
        <v>0</v>
      </c>
      <c r="G53" s="199">
        <f t="shared" si="25"/>
        <v>0</v>
      </c>
      <c r="H53" s="199">
        <f t="shared" si="26"/>
        <v>0</v>
      </c>
      <c r="I53" s="66"/>
    </row>
    <row r="54" spans="1:11" x14ac:dyDescent="0.2">
      <c r="A54" s="184" t="s">
        <v>38</v>
      </c>
      <c r="B54" s="186">
        <f>0</f>
        <v>0</v>
      </c>
      <c r="C54" s="189">
        <f t="shared" si="27"/>
        <v>0</v>
      </c>
      <c r="D54" s="186">
        <f t="shared" si="24"/>
        <v>0</v>
      </c>
      <c r="E54" s="214"/>
      <c r="F54" s="187">
        <v>0</v>
      </c>
      <c r="G54" s="199">
        <f t="shared" si="25"/>
        <v>0</v>
      </c>
      <c r="H54" s="199">
        <f t="shared" si="26"/>
        <v>0</v>
      </c>
      <c r="I54" s="66"/>
    </row>
    <row r="55" spans="1:11" x14ac:dyDescent="0.2">
      <c r="A55" s="184" t="s">
        <v>39</v>
      </c>
      <c r="B55" s="186">
        <f>0</f>
        <v>0</v>
      </c>
      <c r="C55" s="189">
        <f t="shared" si="27"/>
        <v>0</v>
      </c>
      <c r="D55" s="186">
        <f t="shared" si="24"/>
        <v>0</v>
      </c>
      <c r="E55" s="214"/>
      <c r="F55" s="187">
        <v>0</v>
      </c>
      <c r="G55" s="199">
        <f t="shared" si="25"/>
        <v>0</v>
      </c>
      <c r="H55" s="199">
        <f t="shared" si="26"/>
        <v>0</v>
      </c>
      <c r="I55" s="66"/>
    </row>
    <row r="56" spans="1:11" x14ac:dyDescent="0.2">
      <c r="A56" s="184" t="s">
        <v>57</v>
      </c>
      <c r="B56" s="186">
        <f>0</f>
        <v>0</v>
      </c>
      <c r="C56" s="189">
        <f>B56</f>
        <v>0</v>
      </c>
      <c r="D56" s="186">
        <f t="shared" si="24"/>
        <v>0</v>
      </c>
      <c r="E56" s="214"/>
      <c r="F56" s="187">
        <v>0</v>
      </c>
      <c r="G56" s="199">
        <f t="shared" si="25"/>
        <v>0</v>
      </c>
      <c r="H56" s="199">
        <f t="shared" si="26"/>
        <v>0</v>
      </c>
      <c r="I56" s="66"/>
    </row>
    <row r="57" spans="1:11" x14ac:dyDescent="0.2">
      <c r="A57" s="188" t="s">
        <v>66</v>
      </c>
      <c r="B57" s="208">
        <f>0</f>
        <v>0</v>
      </c>
      <c r="C57" s="189">
        <f>B57</f>
        <v>0</v>
      </c>
      <c r="D57" s="208">
        <f t="shared" si="24"/>
        <v>0</v>
      </c>
      <c r="E57" s="214"/>
      <c r="F57" s="200">
        <v>0</v>
      </c>
      <c r="G57" s="201">
        <f t="shared" si="25"/>
        <v>0</v>
      </c>
      <c r="H57" s="201">
        <f t="shared" si="26"/>
        <v>0</v>
      </c>
      <c r="I57" s="66"/>
    </row>
    <row r="58" spans="1:11" ht="13.5" x14ac:dyDescent="0.2">
      <c r="A58" s="190" t="s">
        <v>148</v>
      </c>
      <c r="B58" s="191">
        <f>SUM(B52:B57)</f>
        <v>0</v>
      </c>
      <c r="C58" s="191">
        <f t="shared" ref="C58:D58" si="28">SUM(C52:C57)</f>
        <v>0</v>
      </c>
      <c r="D58" s="209">
        <f t="shared" si="28"/>
        <v>0</v>
      </c>
      <c r="E58" s="215"/>
      <c r="F58" s="191">
        <f t="shared" ref="F58:H58" si="29">SUM(F52:F57)</f>
        <v>0</v>
      </c>
      <c r="G58" s="191">
        <f t="shared" si="29"/>
        <v>0</v>
      </c>
      <c r="H58" s="209">
        <f t="shared" si="29"/>
        <v>0</v>
      </c>
      <c r="I58" s="66"/>
    </row>
    <row r="59" spans="1:11" ht="13.5" x14ac:dyDescent="0.2">
      <c r="A59" s="190"/>
      <c r="B59" s="192"/>
      <c r="C59" s="192"/>
      <c r="D59" s="192"/>
      <c r="E59" s="206"/>
      <c r="F59" s="193"/>
      <c r="G59" s="193"/>
      <c r="H59" s="193"/>
      <c r="I59" s="66"/>
    </row>
    <row r="60" spans="1:11" ht="13.5" x14ac:dyDescent="0.2">
      <c r="A60" s="299" t="s">
        <v>129</v>
      </c>
      <c r="B60" s="192"/>
      <c r="C60" s="192"/>
      <c r="D60" s="192"/>
      <c r="E60" s="206"/>
      <c r="F60" s="193"/>
      <c r="G60" s="193"/>
      <c r="H60" s="193"/>
      <c r="I60" s="66"/>
    </row>
    <row r="61" spans="1:11" ht="27" x14ac:dyDescent="0.2">
      <c r="A61" s="183" t="s">
        <v>158</v>
      </c>
      <c r="B61" s="192"/>
      <c r="C61" s="192"/>
      <c r="D61" s="192"/>
      <c r="E61" s="206"/>
      <c r="F61" s="193"/>
      <c r="G61" s="193"/>
      <c r="H61" s="193"/>
      <c r="I61" s="66"/>
    </row>
    <row r="62" spans="1:11" x14ac:dyDescent="0.2">
      <c r="A62" s="184" t="s">
        <v>79</v>
      </c>
      <c r="B62" s="185">
        <v>34392318</v>
      </c>
      <c r="C62" s="185">
        <f>0+B62</f>
        <v>34392318</v>
      </c>
      <c r="D62" s="185">
        <f>21050619+4523631+C62+600</f>
        <v>59967168</v>
      </c>
      <c r="E62" s="214"/>
      <c r="F62" s="342">
        <v>145352.54999999999</v>
      </c>
      <c r="G62" s="198">
        <f>F62+0</f>
        <v>145352.54999999999</v>
      </c>
      <c r="H62" s="406">
        <f>162221+G62</f>
        <v>307573.55</v>
      </c>
      <c r="I62" s="66"/>
    </row>
    <row r="63" spans="1:11" x14ac:dyDescent="0.2">
      <c r="A63" s="184" t="s">
        <v>80</v>
      </c>
      <c r="B63" s="186">
        <v>3097691</v>
      </c>
      <c r="C63" s="186">
        <f>0+B63</f>
        <v>3097691</v>
      </c>
      <c r="D63" s="186">
        <f>0+0+C63</f>
        <v>3097691</v>
      </c>
      <c r="E63" s="214"/>
      <c r="F63" s="343">
        <f>13091.8</f>
        <v>13091.8</v>
      </c>
      <c r="G63" s="187">
        <f>F63+0</f>
        <v>13091.8</v>
      </c>
      <c r="H63" s="407">
        <f>0+G63</f>
        <v>13091.8</v>
      </c>
      <c r="I63" s="66"/>
    </row>
    <row r="64" spans="1:11" x14ac:dyDescent="0.2">
      <c r="A64" s="184" t="s">
        <v>38</v>
      </c>
      <c r="B64" s="186">
        <f>204343179+315330</f>
        <v>204658509</v>
      </c>
      <c r="C64" s="186">
        <f>0+B64</f>
        <v>204658509</v>
      </c>
      <c r="D64" s="186">
        <f>0+0+C64</f>
        <v>204658509</v>
      </c>
      <c r="E64" s="214"/>
      <c r="F64" s="343">
        <v>865041.04</v>
      </c>
      <c r="G64" s="187">
        <f>F64+1434</f>
        <v>866475.04</v>
      </c>
      <c r="H64" s="407">
        <f>0+G64</f>
        <v>866475.04</v>
      </c>
      <c r="I64" s="337"/>
      <c r="J64" s="125"/>
      <c r="K64" s="6"/>
    </row>
    <row r="65" spans="1:11" x14ac:dyDescent="0.2">
      <c r="A65" s="184" t="s">
        <v>39</v>
      </c>
      <c r="B65" s="186">
        <f>289171367-1150575</f>
        <v>288020792</v>
      </c>
      <c r="C65" s="186">
        <f>+B65+47617507</f>
        <v>335638299</v>
      </c>
      <c r="D65" s="186">
        <f>42714826+145503780+C65</f>
        <v>523856905</v>
      </c>
      <c r="E65" s="214"/>
      <c r="F65" s="343">
        <f>1237802.64+563.39</f>
        <v>1238366.0299999998</v>
      </c>
      <c r="G65" s="187">
        <f>F65+223766</f>
        <v>1462132.0299999998</v>
      </c>
      <c r="H65" s="407">
        <f>1193897+G65</f>
        <v>2656029.0299999998</v>
      </c>
      <c r="I65" s="337"/>
      <c r="J65" s="125"/>
      <c r="K65" s="6"/>
    </row>
    <row r="66" spans="1:11" x14ac:dyDescent="0.2">
      <c r="A66" s="184" t="s">
        <v>57</v>
      </c>
      <c r="B66" s="186">
        <v>1426212</v>
      </c>
      <c r="C66" s="186">
        <f>+B66+216160</f>
        <v>1642372</v>
      </c>
      <c r="D66" s="186">
        <f>712942+1064110+C66</f>
        <v>3419424</v>
      </c>
      <c r="E66" s="214"/>
      <c r="F66" s="343">
        <f>6121.55-1958</f>
        <v>4163.55</v>
      </c>
      <c r="G66" s="187">
        <f>F66+3329</f>
        <v>7492.55</v>
      </c>
      <c r="H66" s="407">
        <f>11272+G66</f>
        <v>18764.55</v>
      </c>
      <c r="I66" s="337"/>
      <c r="J66" s="125"/>
      <c r="K66" s="6"/>
    </row>
    <row r="67" spans="1:11" x14ac:dyDescent="0.2">
      <c r="A67" s="188" t="s">
        <v>66</v>
      </c>
      <c r="B67" s="208">
        <f>16510296+835245</f>
        <v>17345541</v>
      </c>
      <c r="C67" s="208">
        <f>+B67+11403141</f>
        <v>28748682</v>
      </c>
      <c r="D67" s="208">
        <f>7251994+26780617+C67</f>
        <v>62781293</v>
      </c>
      <c r="E67" s="214"/>
      <c r="F67" s="405">
        <f>70074.11+1394.32-735</f>
        <v>70733.430000000008</v>
      </c>
      <c r="G67" s="200">
        <f>F67+62826</f>
        <v>133559.43</v>
      </c>
      <c r="H67" s="408">
        <f>215875+G67</f>
        <v>349434.43</v>
      </c>
      <c r="I67" s="337"/>
      <c r="J67" s="125"/>
      <c r="K67" s="6"/>
    </row>
    <row r="68" spans="1:11" ht="13.5" x14ac:dyDescent="0.2">
      <c r="A68" s="190" t="s">
        <v>84</v>
      </c>
      <c r="B68" s="191">
        <f>SUM(B62:B67)</f>
        <v>548941063</v>
      </c>
      <c r="C68" s="191">
        <f t="shared" ref="C68:D68" si="30">SUM(C62:C67)</f>
        <v>608177871</v>
      </c>
      <c r="D68" s="191">
        <f t="shared" si="30"/>
        <v>857780990</v>
      </c>
      <c r="E68" s="215"/>
      <c r="F68" s="202">
        <f>SUM(F62:F67)</f>
        <v>2336748.4</v>
      </c>
      <c r="G68" s="410">
        <f t="shared" ref="G68:H68" si="31">SUM(G62:G67)</f>
        <v>2628103.4</v>
      </c>
      <c r="H68" s="202">
        <f t="shared" si="31"/>
        <v>4211368.3999999994</v>
      </c>
      <c r="I68" s="424"/>
      <c r="J68" s="424"/>
      <c r="K68" s="424"/>
    </row>
    <row r="69" spans="1:11" ht="13.5" x14ac:dyDescent="0.2">
      <c r="A69" s="190"/>
      <c r="B69" s="192"/>
      <c r="C69" s="192"/>
      <c r="D69" s="192"/>
      <c r="E69" s="206"/>
      <c r="F69" s="193"/>
      <c r="G69" s="193"/>
      <c r="H69" s="193"/>
      <c r="I69" s="66"/>
    </row>
    <row r="70" spans="1:11" ht="27" x14ac:dyDescent="0.2">
      <c r="A70" s="183" t="s">
        <v>159</v>
      </c>
      <c r="B70" s="192"/>
      <c r="C70" s="192"/>
      <c r="D70" s="192"/>
      <c r="E70" s="206"/>
      <c r="F70" s="193"/>
      <c r="G70" s="193"/>
      <c r="H70" s="193"/>
      <c r="I70" s="66"/>
    </row>
    <row r="71" spans="1:11" x14ac:dyDescent="0.2">
      <c r="A71" s="184" t="s">
        <v>79</v>
      </c>
      <c r="B71" s="430">
        <v>870000</v>
      </c>
      <c r="C71" s="185">
        <f>B71+0</f>
        <v>870000</v>
      </c>
      <c r="D71" s="431">
        <f t="shared" ref="D71:D76" si="32">0+0+C71</f>
        <v>870000</v>
      </c>
      <c r="E71" s="214"/>
      <c r="F71" s="342">
        <f>3676.89</f>
        <v>3676.89</v>
      </c>
      <c r="G71" s="301">
        <f>F71+0</f>
        <v>3676.89</v>
      </c>
      <c r="H71" s="406">
        <f t="shared" ref="H71:H76" si="33">0+0+G71</f>
        <v>3676.89</v>
      </c>
      <c r="I71" s="66"/>
    </row>
    <row r="72" spans="1:11" x14ac:dyDescent="0.2">
      <c r="A72" s="184" t="s">
        <v>80</v>
      </c>
      <c r="B72" s="425">
        <f>0</f>
        <v>0</v>
      </c>
      <c r="C72" s="186">
        <f t="shared" ref="C72:C76" si="34">B72+0</f>
        <v>0</v>
      </c>
      <c r="D72" s="427">
        <f t="shared" si="32"/>
        <v>0</v>
      </c>
      <c r="E72" s="214"/>
      <c r="F72" s="343">
        <v>0</v>
      </c>
      <c r="G72" s="433">
        <f t="shared" ref="G72:G76" si="35">F72+0</f>
        <v>0</v>
      </c>
      <c r="H72" s="407">
        <f t="shared" si="33"/>
        <v>0</v>
      </c>
      <c r="I72" s="66"/>
    </row>
    <row r="73" spans="1:11" x14ac:dyDescent="0.2">
      <c r="A73" s="184" t="s">
        <v>38</v>
      </c>
      <c r="B73" s="425">
        <f>0</f>
        <v>0</v>
      </c>
      <c r="C73" s="186">
        <f t="shared" si="34"/>
        <v>0</v>
      </c>
      <c r="D73" s="427">
        <f t="shared" si="32"/>
        <v>0</v>
      </c>
      <c r="E73" s="214"/>
      <c r="F73" s="343">
        <v>0</v>
      </c>
      <c r="G73" s="433">
        <f t="shared" si="35"/>
        <v>0</v>
      </c>
      <c r="H73" s="407">
        <f t="shared" si="33"/>
        <v>0</v>
      </c>
      <c r="I73" s="66"/>
    </row>
    <row r="74" spans="1:11" x14ac:dyDescent="0.2">
      <c r="A74" s="184" t="s">
        <v>39</v>
      </c>
      <c r="B74" s="425">
        <f>0</f>
        <v>0</v>
      </c>
      <c r="C74" s="186">
        <f t="shared" si="34"/>
        <v>0</v>
      </c>
      <c r="D74" s="427">
        <f t="shared" si="32"/>
        <v>0</v>
      </c>
      <c r="E74" s="214"/>
      <c r="F74" s="343">
        <v>0</v>
      </c>
      <c r="G74" s="433">
        <f t="shared" si="35"/>
        <v>0</v>
      </c>
      <c r="H74" s="407">
        <f t="shared" si="33"/>
        <v>0</v>
      </c>
      <c r="I74" s="66"/>
    </row>
    <row r="75" spans="1:11" x14ac:dyDescent="0.2">
      <c r="A75" s="184" t="s">
        <v>57</v>
      </c>
      <c r="B75" s="425">
        <f>0</f>
        <v>0</v>
      </c>
      <c r="C75" s="186">
        <f t="shared" si="34"/>
        <v>0</v>
      </c>
      <c r="D75" s="427">
        <f t="shared" si="32"/>
        <v>0</v>
      </c>
      <c r="E75" s="214"/>
      <c r="F75" s="343">
        <v>0</v>
      </c>
      <c r="G75" s="433">
        <f t="shared" si="35"/>
        <v>0</v>
      </c>
      <c r="H75" s="407">
        <f t="shared" si="33"/>
        <v>0</v>
      </c>
      <c r="I75" s="66"/>
    </row>
    <row r="76" spans="1:11" x14ac:dyDescent="0.2">
      <c r="A76" s="188" t="s">
        <v>66</v>
      </c>
      <c r="B76" s="426">
        <f>0</f>
        <v>0</v>
      </c>
      <c r="C76" s="208">
        <f t="shared" si="34"/>
        <v>0</v>
      </c>
      <c r="D76" s="428">
        <f t="shared" si="32"/>
        <v>0</v>
      </c>
      <c r="E76" s="214"/>
      <c r="F76" s="405">
        <v>0</v>
      </c>
      <c r="G76" s="434">
        <f t="shared" si="35"/>
        <v>0</v>
      </c>
      <c r="H76" s="408">
        <f t="shared" si="33"/>
        <v>0</v>
      </c>
      <c r="I76" s="66"/>
    </row>
    <row r="77" spans="1:11" ht="13.5" x14ac:dyDescent="0.2">
      <c r="A77" s="190" t="s">
        <v>111</v>
      </c>
      <c r="B77" s="191">
        <f>SUM(B71:B76)</f>
        <v>870000</v>
      </c>
      <c r="C77" s="409">
        <f t="shared" ref="C77:D77" si="36">SUM(C71:C76)</f>
        <v>870000</v>
      </c>
      <c r="D77" s="191">
        <f t="shared" si="36"/>
        <v>870000</v>
      </c>
      <c r="E77" s="215"/>
      <c r="F77" s="202">
        <f>SUM(F71:F76)</f>
        <v>3676.89</v>
      </c>
      <c r="G77" s="410">
        <f t="shared" ref="G77:H77" si="37">SUM(G71:G76)</f>
        <v>3676.89</v>
      </c>
      <c r="H77" s="202">
        <f t="shared" si="37"/>
        <v>3676.89</v>
      </c>
      <c r="I77" s="66"/>
    </row>
    <row r="78" spans="1:11" ht="13.5" x14ac:dyDescent="0.2">
      <c r="A78" s="190"/>
      <c r="B78" s="192"/>
      <c r="C78" s="192"/>
      <c r="D78" s="192"/>
      <c r="E78" s="206"/>
      <c r="F78" s="193"/>
      <c r="G78" s="193"/>
      <c r="H78" s="193"/>
      <c r="I78" s="66"/>
    </row>
    <row r="79" spans="1:11" ht="27" hidden="1" x14ac:dyDescent="0.2">
      <c r="A79" s="183" t="s">
        <v>154</v>
      </c>
      <c r="B79" s="232"/>
      <c r="C79" s="182"/>
      <c r="D79" s="182"/>
      <c r="E79" s="206"/>
      <c r="F79" s="182"/>
      <c r="G79" s="182"/>
      <c r="H79" s="182"/>
      <c r="I79" s="66"/>
    </row>
    <row r="80" spans="1:11" hidden="1" x14ac:dyDescent="0.2">
      <c r="A80" s="184" t="s">
        <v>79</v>
      </c>
      <c r="B80" s="430">
        <f>0</f>
        <v>0</v>
      </c>
      <c r="C80" s="185">
        <f>B80+0</f>
        <v>0</v>
      </c>
      <c r="D80" s="431">
        <f t="shared" ref="D80:D85" si="38">0+0+C80</f>
        <v>0</v>
      </c>
      <c r="E80" s="214"/>
      <c r="F80" s="342">
        <v>0</v>
      </c>
      <c r="G80" s="367">
        <f>F80+0</f>
        <v>0</v>
      </c>
      <c r="H80" s="432">
        <f t="shared" ref="H80:H85" si="39">0+0+G80</f>
        <v>0</v>
      </c>
      <c r="I80" s="66"/>
    </row>
    <row r="81" spans="1:12" hidden="1" x14ac:dyDescent="0.2">
      <c r="A81" s="184" t="s">
        <v>80</v>
      </c>
      <c r="B81" s="425">
        <f>0</f>
        <v>0</v>
      </c>
      <c r="C81" s="186">
        <f t="shared" ref="C81:C85" si="40">B81+0</f>
        <v>0</v>
      </c>
      <c r="D81" s="427">
        <f t="shared" si="38"/>
        <v>0</v>
      </c>
      <c r="E81" s="214"/>
      <c r="F81" s="343">
        <v>0</v>
      </c>
      <c r="G81" s="433">
        <f t="shared" ref="G81:G85" si="41">F81+0</f>
        <v>0</v>
      </c>
      <c r="H81" s="407">
        <f t="shared" si="39"/>
        <v>0</v>
      </c>
      <c r="I81" s="66"/>
    </row>
    <row r="82" spans="1:12" hidden="1" x14ac:dyDescent="0.2">
      <c r="A82" s="184" t="s">
        <v>38</v>
      </c>
      <c r="B82" s="425">
        <f>0</f>
        <v>0</v>
      </c>
      <c r="C82" s="186">
        <f t="shared" si="40"/>
        <v>0</v>
      </c>
      <c r="D82" s="427">
        <f t="shared" si="38"/>
        <v>0</v>
      </c>
      <c r="E82" s="214"/>
      <c r="F82" s="343">
        <v>0</v>
      </c>
      <c r="G82" s="433">
        <f t="shared" si="41"/>
        <v>0</v>
      </c>
      <c r="H82" s="407">
        <f t="shared" si="39"/>
        <v>0</v>
      </c>
      <c r="I82" s="66"/>
    </row>
    <row r="83" spans="1:12" hidden="1" x14ac:dyDescent="0.2">
      <c r="A83" s="184" t="s">
        <v>39</v>
      </c>
      <c r="B83" s="425">
        <f>0</f>
        <v>0</v>
      </c>
      <c r="C83" s="186">
        <f t="shared" si="40"/>
        <v>0</v>
      </c>
      <c r="D83" s="427">
        <f t="shared" si="38"/>
        <v>0</v>
      </c>
      <c r="E83" s="214"/>
      <c r="F83" s="343">
        <v>0</v>
      </c>
      <c r="G83" s="433">
        <f t="shared" si="41"/>
        <v>0</v>
      </c>
      <c r="H83" s="407">
        <f t="shared" si="39"/>
        <v>0</v>
      </c>
      <c r="I83" s="66"/>
    </row>
    <row r="84" spans="1:12" hidden="1" x14ac:dyDescent="0.2">
      <c r="A84" s="184" t="s">
        <v>57</v>
      </c>
      <c r="B84" s="425">
        <f>0</f>
        <v>0</v>
      </c>
      <c r="C84" s="186">
        <f t="shared" si="40"/>
        <v>0</v>
      </c>
      <c r="D84" s="427">
        <f t="shared" si="38"/>
        <v>0</v>
      </c>
      <c r="E84" s="214"/>
      <c r="F84" s="343">
        <v>0</v>
      </c>
      <c r="G84" s="433">
        <f t="shared" si="41"/>
        <v>0</v>
      </c>
      <c r="H84" s="407">
        <f t="shared" si="39"/>
        <v>0</v>
      </c>
      <c r="I84" s="66"/>
    </row>
    <row r="85" spans="1:12" hidden="1" x14ac:dyDescent="0.2">
      <c r="A85" s="188" t="s">
        <v>66</v>
      </c>
      <c r="B85" s="426">
        <f>0</f>
        <v>0</v>
      </c>
      <c r="C85" s="208">
        <f t="shared" si="40"/>
        <v>0</v>
      </c>
      <c r="D85" s="428">
        <f t="shared" si="38"/>
        <v>0</v>
      </c>
      <c r="E85" s="214"/>
      <c r="F85" s="405">
        <v>0</v>
      </c>
      <c r="G85" s="434">
        <f t="shared" si="41"/>
        <v>0</v>
      </c>
      <c r="H85" s="408">
        <f t="shared" si="39"/>
        <v>0</v>
      </c>
      <c r="I85" s="435" t="s">
        <v>32</v>
      </c>
      <c r="J85" s="436"/>
      <c r="K85" s="436"/>
      <c r="L85" s="436"/>
    </row>
    <row r="86" spans="1:12" ht="13.5" hidden="1" x14ac:dyDescent="0.2">
      <c r="A86" s="190" t="s">
        <v>149</v>
      </c>
      <c r="B86" s="191">
        <f>SUM(B80:B85)</f>
        <v>0</v>
      </c>
      <c r="C86" s="409">
        <f t="shared" ref="C86:D86" si="42">SUM(C80:C85)</f>
        <v>0</v>
      </c>
      <c r="D86" s="209">
        <f t="shared" si="42"/>
        <v>0</v>
      </c>
      <c r="E86" s="215"/>
      <c r="F86" s="191">
        <f t="shared" ref="F86:H86" si="43">SUM(F80:F85)</f>
        <v>0</v>
      </c>
      <c r="G86" s="409">
        <f t="shared" si="43"/>
        <v>0</v>
      </c>
      <c r="H86" s="209">
        <f t="shared" si="43"/>
        <v>0</v>
      </c>
      <c r="I86" s="437"/>
      <c r="J86" s="436"/>
      <c r="K86" s="436"/>
      <c r="L86" s="436"/>
    </row>
    <row r="87" spans="1:12" ht="13.5" x14ac:dyDescent="0.2">
      <c r="A87" s="80"/>
      <c r="B87" s="158"/>
      <c r="C87" s="158"/>
      <c r="D87" s="158"/>
      <c r="E87" s="14"/>
      <c r="F87" s="159"/>
      <c r="G87" s="159"/>
      <c r="H87" s="159"/>
      <c r="I87" s="435" t="s">
        <v>174</v>
      </c>
      <c r="J87" s="438" t="s">
        <v>175</v>
      </c>
      <c r="K87" s="438" t="s">
        <v>176</v>
      </c>
      <c r="L87" s="436"/>
    </row>
    <row r="88" spans="1:12" ht="13.5" hidden="1" x14ac:dyDescent="0.2">
      <c r="A88" s="65" t="s">
        <v>85</v>
      </c>
      <c r="B88" s="63"/>
      <c r="C88" s="63"/>
      <c r="D88" s="63"/>
      <c r="E88" s="206"/>
      <c r="F88" s="63"/>
      <c r="G88" s="63"/>
      <c r="H88" s="63"/>
      <c r="I88" s="435"/>
      <c r="J88" s="438"/>
      <c r="K88" s="438"/>
      <c r="L88" s="436"/>
    </row>
    <row r="89" spans="1:12" hidden="1" x14ac:dyDescent="0.2">
      <c r="A89" s="67" t="s">
        <v>79</v>
      </c>
      <c r="B89" s="89"/>
      <c r="C89" s="68"/>
      <c r="D89" s="68"/>
      <c r="E89" s="217"/>
      <c r="F89" s="68"/>
      <c r="G89" s="68"/>
      <c r="H89" s="68"/>
      <c r="I89" s="435"/>
      <c r="J89" s="438"/>
      <c r="K89" s="438"/>
      <c r="L89" s="436"/>
    </row>
    <row r="90" spans="1:12" hidden="1" x14ac:dyDescent="0.2">
      <c r="A90" s="67" t="s">
        <v>80</v>
      </c>
      <c r="B90" s="86"/>
      <c r="C90" s="69"/>
      <c r="D90" s="69"/>
      <c r="E90" s="218"/>
      <c r="F90" s="69"/>
      <c r="G90" s="69"/>
      <c r="H90" s="69"/>
      <c r="I90" s="435"/>
      <c r="J90" s="438"/>
      <c r="K90" s="438"/>
      <c r="L90" s="436"/>
    </row>
    <row r="91" spans="1:12" hidden="1" x14ac:dyDescent="0.2">
      <c r="A91" s="67" t="s">
        <v>38</v>
      </c>
      <c r="B91" s="86"/>
      <c r="C91" s="69"/>
      <c r="D91" s="69"/>
      <c r="E91" s="218"/>
      <c r="F91" s="69"/>
      <c r="G91" s="69"/>
      <c r="H91" s="69"/>
      <c r="I91" s="435"/>
      <c r="J91" s="438"/>
      <c r="K91" s="438"/>
      <c r="L91" s="436"/>
    </row>
    <row r="92" spans="1:12" hidden="1" x14ac:dyDescent="0.2">
      <c r="A92" s="67" t="s">
        <v>39</v>
      </c>
      <c r="B92" s="86"/>
      <c r="C92" s="69"/>
      <c r="D92" s="69"/>
      <c r="E92" s="218"/>
      <c r="F92" s="69"/>
      <c r="G92" s="69"/>
      <c r="H92" s="69"/>
      <c r="I92" s="435"/>
      <c r="J92" s="438"/>
      <c r="K92" s="438"/>
      <c r="L92" s="436"/>
    </row>
    <row r="93" spans="1:12" hidden="1" x14ac:dyDescent="0.2">
      <c r="A93" s="67" t="s">
        <v>57</v>
      </c>
      <c r="B93" s="86"/>
      <c r="C93" s="69"/>
      <c r="D93" s="69"/>
      <c r="E93" s="218"/>
      <c r="F93" s="69"/>
      <c r="G93" s="69"/>
      <c r="H93" s="69"/>
      <c r="I93" s="435"/>
      <c r="J93" s="438"/>
      <c r="K93" s="438"/>
      <c r="L93" s="436"/>
    </row>
    <row r="94" spans="1:12" hidden="1" x14ac:dyDescent="0.2">
      <c r="A94" s="85" t="s">
        <v>60</v>
      </c>
      <c r="B94" s="86"/>
      <c r="C94" s="204"/>
      <c r="D94" s="204"/>
      <c r="E94" s="218"/>
      <c r="F94" s="204"/>
      <c r="G94" s="204"/>
      <c r="H94" s="204"/>
      <c r="I94" s="435"/>
      <c r="J94" s="438"/>
      <c r="K94" s="438"/>
      <c r="L94" s="436"/>
    </row>
    <row r="95" spans="1:12" ht="13.5" hidden="1" x14ac:dyDescent="0.2">
      <c r="A95" s="80" t="s">
        <v>87</v>
      </c>
      <c r="B95" s="79">
        <v>0</v>
      </c>
      <c r="C95" s="79">
        <v>0</v>
      </c>
      <c r="D95" s="207">
        <v>0</v>
      </c>
      <c r="E95" s="215"/>
      <c r="F95" s="79">
        <v>0</v>
      </c>
      <c r="G95" s="79">
        <v>0</v>
      </c>
      <c r="H95" s="207">
        <v>0</v>
      </c>
      <c r="I95" s="435"/>
      <c r="J95" s="438"/>
      <c r="K95" s="438"/>
      <c r="L95" s="436"/>
    </row>
    <row r="96" spans="1:12" ht="13.5" hidden="1" x14ac:dyDescent="0.2">
      <c r="A96" s="80"/>
      <c r="B96" s="158"/>
      <c r="C96" s="158"/>
      <c r="D96" s="158"/>
      <c r="E96" s="206"/>
      <c r="F96" s="158"/>
      <c r="G96" s="158"/>
      <c r="H96" s="158"/>
      <c r="I96" s="435"/>
      <c r="J96" s="438"/>
      <c r="K96" s="438"/>
      <c r="L96" s="436"/>
    </row>
    <row r="97" spans="1:12" ht="13.5" hidden="1" x14ac:dyDescent="0.2">
      <c r="A97" s="65" t="s">
        <v>86</v>
      </c>
      <c r="B97" s="63"/>
      <c r="C97" s="63"/>
      <c r="D97" s="63"/>
      <c r="E97" s="206"/>
      <c r="F97" s="63"/>
      <c r="G97" s="63"/>
      <c r="H97" s="63"/>
      <c r="I97" s="435"/>
      <c r="J97" s="438"/>
      <c r="K97" s="438"/>
      <c r="L97" s="436"/>
    </row>
    <row r="98" spans="1:12" hidden="1" x14ac:dyDescent="0.2">
      <c r="A98" s="67" t="s">
        <v>79</v>
      </c>
      <c r="B98" s="89"/>
      <c r="C98" s="68"/>
      <c r="D98" s="205"/>
      <c r="E98" s="217"/>
      <c r="F98" s="68"/>
      <c r="G98" s="68"/>
      <c r="H98" s="68"/>
      <c r="I98" s="435"/>
      <c r="J98" s="438"/>
      <c r="K98" s="438"/>
      <c r="L98" s="436"/>
    </row>
    <row r="99" spans="1:12" hidden="1" x14ac:dyDescent="0.2">
      <c r="A99" s="67" t="s">
        <v>80</v>
      </c>
      <c r="B99" s="86"/>
      <c r="C99" s="69"/>
      <c r="D99" s="87"/>
      <c r="E99" s="218"/>
      <c r="F99" s="69"/>
      <c r="G99" s="69"/>
      <c r="H99" s="69"/>
      <c r="I99" s="435"/>
      <c r="J99" s="438"/>
      <c r="K99" s="438"/>
      <c r="L99" s="436"/>
    </row>
    <row r="100" spans="1:12" hidden="1" x14ac:dyDescent="0.2">
      <c r="A100" s="67" t="s">
        <v>38</v>
      </c>
      <c r="B100" s="86"/>
      <c r="C100" s="69"/>
      <c r="D100" s="87"/>
      <c r="E100" s="218"/>
      <c r="F100" s="69"/>
      <c r="G100" s="69"/>
      <c r="H100" s="69"/>
      <c r="I100" s="435"/>
      <c r="J100" s="438"/>
      <c r="K100" s="438"/>
      <c r="L100" s="436"/>
    </row>
    <row r="101" spans="1:12" hidden="1" x14ac:dyDescent="0.2">
      <c r="A101" s="67" t="s">
        <v>39</v>
      </c>
      <c r="B101" s="86"/>
      <c r="C101" s="69"/>
      <c r="D101" s="87"/>
      <c r="E101" s="218"/>
      <c r="F101" s="69"/>
      <c r="G101" s="69"/>
      <c r="H101" s="69"/>
      <c r="I101" s="435"/>
      <c r="J101" s="438"/>
      <c r="K101" s="438"/>
      <c r="L101" s="436"/>
    </row>
    <row r="102" spans="1:12" hidden="1" x14ac:dyDescent="0.2">
      <c r="A102" s="67" t="s">
        <v>57</v>
      </c>
      <c r="B102" s="86"/>
      <c r="C102" s="69"/>
      <c r="D102" s="87"/>
      <c r="E102" s="218"/>
      <c r="F102" s="69"/>
      <c r="G102" s="69"/>
      <c r="H102" s="69"/>
      <c r="I102" s="435"/>
      <c r="J102" s="438"/>
      <c r="K102" s="438"/>
      <c r="L102" s="436"/>
    </row>
    <row r="103" spans="1:12" hidden="1" x14ac:dyDescent="0.2">
      <c r="A103" s="85" t="s">
        <v>60</v>
      </c>
      <c r="B103" s="86"/>
      <c r="C103" s="204"/>
      <c r="D103" s="87"/>
      <c r="E103" s="219"/>
      <c r="F103" s="204"/>
      <c r="G103" s="204"/>
      <c r="H103" s="204"/>
      <c r="I103" s="435"/>
      <c r="J103" s="438"/>
      <c r="K103" s="438"/>
      <c r="L103" s="436"/>
    </row>
    <row r="104" spans="1:12" ht="13.5" hidden="1" x14ac:dyDescent="0.2">
      <c r="A104" s="80" t="s">
        <v>88</v>
      </c>
      <c r="B104" s="79">
        <v>0</v>
      </c>
      <c r="C104" s="79">
        <v>0</v>
      </c>
      <c r="D104" s="79">
        <v>0</v>
      </c>
      <c r="E104" s="215"/>
      <c r="F104" s="79">
        <v>0</v>
      </c>
      <c r="G104" s="79">
        <v>0</v>
      </c>
      <c r="H104" s="79">
        <v>0</v>
      </c>
      <c r="I104" s="435"/>
      <c r="J104" s="438"/>
      <c r="K104" s="438"/>
      <c r="L104" s="436"/>
    </row>
    <row r="105" spans="1:12" s="5" customFormat="1" ht="20.25" thickBot="1" x14ac:dyDescent="0.25">
      <c r="A105" s="82" t="s">
        <v>89</v>
      </c>
      <c r="B105" s="81">
        <f>B40+B49+B58+B68+B77+B86</f>
        <v>948215299</v>
      </c>
      <c r="C105" s="81">
        <f>C40+C49+C58+C68+C77+C86</f>
        <v>1050138166</v>
      </c>
      <c r="D105" s="81">
        <f>D40+D49+D58+D68+D77+D86</f>
        <v>1484717081</v>
      </c>
      <c r="E105" s="216"/>
      <c r="F105" s="110">
        <f>F40+F49+F58+F68+F77+F86</f>
        <v>4024204.5740000005</v>
      </c>
      <c r="G105" s="110">
        <f>G40+G49+G58+G68+G77+G86</f>
        <v>4506061.574</v>
      </c>
      <c r="H105" s="110">
        <f>H40+H49+H58+H68+H77+H86</f>
        <v>7262654.5739999982</v>
      </c>
      <c r="I105" s="435">
        <f>H105*58%</f>
        <v>4212339.6529199984</v>
      </c>
      <c r="J105" s="439">
        <f>H68+H77+H86</f>
        <v>4215045.2899999991</v>
      </c>
      <c r="K105" s="439">
        <f>I105-J105</f>
        <v>-2705.6370800007135</v>
      </c>
      <c r="L105" s="440">
        <f>K105*236.6131</f>
        <v>-640189.17697391682</v>
      </c>
    </row>
    <row r="106" spans="1:12" s="5" customFormat="1" ht="20.25" thickTop="1" x14ac:dyDescent="0.2">
      <c r="A106" s="82"/>
      <c r="B106" s="158"/>
      <c r="C106" s="158"/>
      <c r="D106" s="158"/>
      <c r="E106" s="214"/>
      <c r="F106" s="159"/>
      <c r="G106" s="159"/>
      <c r="H106" s="159"/>
      <c r="I106" s="435">
        <f>H105*42%</f>
        <v>3050314.9210799993</v>
      </c>
      <c r="J106" s="441">
        <f>H40+H49+H58</f>
        <v>3047609.2839999995</v>
      </c>
      <c r="K106" s="439">
        <f>I106-J106</f>
        <v>2705.6370799997821</v>
      </c>
      <c r="L106" s="442"/>
    </row>
    <row r="107" spans="1:12" s="5" customFormat="1" ht="14.25" x14ac:dyDescent="0.2">
      <c r="A107" s="160" t="s">
        <v>4</v>
      </c>
      <c r="B107" s="158">
        <f>C131+C138</f>
        <v>1637132300</v>
      </c>
      <c r="C107" s="158">
        <f>C131+C138</f>
        <v>1637132300</v>
      </c>
      <c r="D107" s="158">
        <f>D29</f>
        <v>5481199843</v>
      </c>
      <c r="E107" s="214"/>
      <c r="F107" s="159">
        <f>G131+G138</f>
        <v>6986878</v>
      </c>
      <c r="G107" s="159">
        <f>G131+G138</f>
        <v>6986878</v>
      </c>
      <c r="H107" s="159">
        <f>H29</f>
        <v>21977058</v>
      </c>
      <c r="I107" s="437"/>
      <c r="J107" s="442"/>
      <c r="K107" s="442"/>
      <c r="L107" s="442"/>
    </row>
    <row r="108" spans="1:12" ht="13.5" thickBot="1" x14ac:dyDescent="0.25">
      <c r="A108" s="64"/>
      <c r="B108" s="63"/>
      <c r="C108" s="63"/>
      <c r="D108" s="63"/>
      <c r="E108" s="225"/>
      <c r="F108" s="63"/>
      <c r="G108" s="63"/>
      <c r="H108" s="63"/>
      <c r="I108" s="435" t="s">
        <v>179</v>
      </c>
      <c r="J108" s="436"/>
      <c r="K108" s="436"/>
      <c r="L108" s="436"/>
    </row>
    <row r="109" spans="1:12" ht="13.5" thickBot="1" x14ac:dyDescent="0.25">
      <c r="A109" s="234" t="s">
        <v>41</v>
      </c>
      <c r="B109" s="341">
        <f>B107+B29-B105</f>
        <v>3541851629</v>
      </c>
      <c r="C109" s="341">
        <f>C107-C105</f>
        <v>586994134</v>
      </c>
      <c r="D109" s="341">
        <f>D107-D105</f>
        <v>3996482762</v>
      </c>
      <c r="E109" s="236"/>
      <c r="F109" s="237">
        <f>F107+F29-F105</f>
        <v>13223020.425999999</v>
      </c>
      <c r="G109" s="237">
        <f>G107+G29-G105</f>
        <v>14714404.425999999</v>
      </c>
      <c r="H109" s="341">
        <f>H107-H105</f>
        <v>14714403.426000003</v>
      </c>
      <c r="I109" s="435" t="s">
        <v>174</v>
      </c>
      <c r="J109" s="438" t="s">
        <v>175</v>
      </c>
      <c r="K109" s="438" t="s">
        <v>176</v>
      </c>
      <c r="L109" s="436"/>
    </row>
    <row r="110" spans="1:12" x14ac:dyDescent="0.2">
      <c r="B110" s="70"/>
      <c r="C110" s="70"/>
      <c r="D110" s="70"/>
      <c r="E110" s="14"/>
      <c r="F110" s="1"/>
      <c r="G110" s="1"/>
      <c r="I110" s="436"/>
      <c r="J110" s="436"/>
      <c r="K110" s="436"/>
      <c r="L110" s="436"/>
    </row>
    <row r="111" spans="1:12" x14ac:dyDescent="0.2">
      <c r="F111" s="1"/>
      <c r="G111" s="1"/>
      <c r="I111" s="443">
        <f>D105*58%</f>
        <v>861135906.9799999</v>
      </c>
      <c r="J111" s="444">
        <f>D68+D77+D86</f>
        <v>858650990</v>
      </c>
      <c r="K111" s="443">
        <f>I111-J111</f>
        <v>2484916.9799998999</v>
      </c>
      <c r="L111" s="436"/>
    </row>
    <row r="112" spans="1:12" ht="26.25" hidden="1" thickBot="1" x14ac:dyDescent="0.25">
      <c r="A112" s="96" t="s">
        <v>67</v>
      </c>
      <c r="B112" s="92"/>
      <c r="C112" s="71" t="s">
        <v>4</v>
      </c>
      <c r="D112" s="75" t="s">
        <v>5</v>
      </c>
      <c r="G112" s="75" t="s">
        <v>4</v>
      </c>
      <c r="H112" s="75" t="s">
        <v>5</v>
      </c>
      <c r="I112" s="443"/>
      <c r="J112" s="436"/>
      <c r="K112" s="436"/>
      <c r="L112" s="436"/>
    </row>
    <row r="113" spans="1:12" ht="13.5" hidden="1" thickBot="1" x14ac:dyDescent="0.25">
      <c r="A113" s="72"/>
      <c r="B113" s="93"/>
      <c r="C113" s="497" t="s">
        <v>42</v>
      </c>
      <c r="D113" s="498"/>
      <c r="F113" s="93"/>
      <c r="G113" s="497" t="s">
        <v>15</v>
      </c>
      <c r="H113" s="498"/>
      <c r="I113" s="443"/>
      <c r="J113" s="436"/>
      <c r="K113" s="436"/>
      <c r="L113" s="436"/>
    </row>
    <row r="114" spans="1:12" hidden="1" x14ac:dyDescent="0.2">
      <c r="A114" s="72" t="s">
        <v>62</v>
      </c>
      <c r="B114" s="88"/>
      <c r="C114" s="73">
        <f>B14</f>
        <v>0</v>
      </c>
      <c r="D114" s="76">
        <f>C114-D95</f>
        <v>0</v>
      </c>
      <c r="F114" s="49"/>
      <c r="G114" s="111">
        <f>F14</f>
        <v>0</v>
      </c>
      <c r="H114" s="112">
        <f>G114-H95</f>
        <v>0</v>
      </c>
      <c r="I114" s="443"/>
      <c r="J114" s="436"/>
      <c r="K114" s="436"/>
      <c r="L114" s="436"/>
    </row>
    <row r="115" spans="1:12" hidden="1" x14ac:dyDescent="0.2">
      <c r="A115" s="72" t="s">
        <v>56</v>
      </c>
      <c r="B115" s="88"/>
      <c r="C115" s="73"/>
      <c r="D115" s="76"/>
      <c r="F115" s="49"/>
      <c r="G115" s="77"/>
      <c r="H115" s="76"/>
      <c r="I115" s="443"/>
      <c r="J115" s="436"/>
      <c r="K115" s="436"/>
      <c r="L115" s="436"/>
    </row>
    <row r="116" spans="1:12" hidden="1" x14ac:dyDescent="0.2">
      <c r="A116" s="72" t="s">
        <v>58</v>
      </c>
      <c r="B116" s="88"/>
      <c r="C116" s="73"/>
      <c r="D116" s="76"/>
      <c r="F116" s="49"/>
      <c r="G116" s="77"/>
      <c r="H116" s="76"/>
      <c r="I116" s="443"/>
      <c r="J116" s="436"/>
      <c r="K116" s="436"/>
      <c r="L116" s="436"/>
    </row>
    <row r="117" spans="1:12" ht="13.5" hidden="1" thickBot="1" x14ac:dyDescent="0.25">
      <c r="A117" s="74" t="s">
        <v>43</v>
      </c>
      <c r="B117" s="94"/>
      <c r="C117" s="210">
        <f>C114</f>
        <v>0</v>
      </c>
      <c r="D117" s="211">
        <f>D114</f>
        <v>0</v>
      </c>
      <c r="F117" s="95"/>
      <c r="G117" s="212">
        <f>G114</f>
        <v>0</v>
      </c>
      <c r="H117" s="213">
        <f>H114</f>
        <v>0</v>
      </c>
      <c r="I117" s="443"/>
      <c r="J117" s="436"/>
      <c r="K117" s="436"/>
      <c r="L117" s="436"/>
    </row>
    <row r="118" spans="1:12" hidden="1" x14ac:dyDescent="0.2">
      <c r="D118" s="70"/>
      <c r="I118" s="443"/>
      <c r="J118" s="436"/>
      <c r="K118" s="436"/>
      <c r="L118" s="436"/>
    </row>
    <row r="119" spans="1:12" ht="26.25" hidden="1" thickBot="1" x14ac:dyDescent="0.25">
      <c r="A119" s="96" t="s">
        <v>68</v>
      </c>
      <c r="B119" s="92"/>
      <c r="C119" s="71" t="s">
        <v>4</v>
      </c>
      <c r="D119" s="75" t="s">
        <v>5</v>
      </c>
      <c r="G119" s="75" t="s">
        <v>4</v>
      </c>
      <c r="H119" s="75" t="s">
        <v>5</v>
      </c>
      <c r="I119" s="443"/>
      <c r="J119" s="436"/>
      <c r="K119" s="436"/>
      <c r="L119" s="436"/>
    </row>
    <row r="120" spans="1:12" ht="13.5" hidden="1" thickBot="1" x14ac:dyDescent="0.25">
      <c r="A120" s="72"/>
      <c r="B120" s="93"/>
      <c r="C120" s="497" t="s">
        <v>42</v>
      </c>
      <c r="D120" s="498"/>
      <c r="F120" s="93"/>
      <c r="G120" s="497" t="s">
        <v>15</v>
      </c>
      <c r="H120" s="498"/>
      <c r="I120" s="443"/>
      <c r="J120" s="436"/>
      <c r="K120" s="436"/>
      <c r="L120" s="436"/>
    </row>
    <row r="121" spans="1:12" hidden="1" x14ac:dyDescent="0.2">
      <c r="A121" s="72" t="s">
        <v>55</v>
      </c>
      <c r="B121" s="88"/>
      <c r="C121" s="73">
        <f>B15</f>
        <v>0</v>
      </c>
      <c r="D121" s="76">
        <f>C121</f>
        <v>0</v>
      </c>
      <c r="F121" s="49"/>
      <c r="G121" s="111">
        <f>F15</f>
        <v>0</v>
      </c>
      <c r="H121" s="112">
        <f>G121</f>
        <v>0</v>
      </c>
      <c r="I121" s="443"/>
      <c r="J121" s="436"/>
      <c r="K121" s="436"/>
      <c r="L121" s="436"/>
    </row>
    <row r="122" spans="1:12" hidden="1" x14ac:dyDescent="0.2">
      <c r="A122" s="72" t="s">
        <v>56</v>
      </c>
      <c r="B122" s="88"/>
      <c r="C122" s="73"/>
      <c r="D122" s="76"/>
      <c r="F122" s="49"/>
      <c r="G122" s="77"/>
      <c r="H122" s="76"/>
      <c r="I122" s="443"/>
      <c r="J122" s="436"/>
      <c r="K122" s="436"/>
      <c r="L122" s="436"/>
    </row>
    <row r="123" spans="1:12" hidden="1" x14ac:dyDescent="0.2">
      <c r="A123" s="72" t="s">
        <v>58</v>
      </c>
      <c r="B123" s="88"/>
      <c r="C123" s="73"/>
      <c r="D123" s="76"/>
      <c r="F123" s="49"/>
      <c r="G123" s="77"/>
      <c r="H123" s="76"/>
      <c r="I123" s="443"/>
      <c r="J123" s="436"/>
      <c r="K123" s="436"/>
      <c r="L123" s="436"/>
    </row>
    <row r="124" spans="1:12" ht="13.5" hidden="1" thickBot="1" x14ac:dyDescent="0.25">
      <c r="A124" s="74" t="s">
        <v>43</v>
      </c>
      <c r="B124" s="94"/>
      <c r="C124" s="210">
        <f>C121</f>
        <v>0</v>
      </c>
      <c r="D124" s="211">
        <f>D121</f>
        <v>0</v>
      </c>
      <c r="F124" s="95"/>
      <c r="G124" s="212">
        <f>G121</f>
        <v>0</v>
      </c>
      <c r="H124" s="213">
        <f>H121</f>
        <v>0</v>
      </c>
      <c r="I124" s="443"/>
      <c r="J124" s="436"/>
      <c r="K124" s="436"/>
      <c r="L124" s="436"/>
    </row>
    <row r="125" spans="1:12" ht="13.5" thickBot="1" x14ac:dyDescent="0.25">
      <c r="I125" s="443">
        <f>D105*42%</f>
        <v>623581174.01999998</v>
      </c>
      <c r="J125" s="444">
        <f>D40+D49+D58</f>
        <v>626066091</v>
      </c>
      <c r="K125" s="443">
        <f>I125-J125</f>
        <v>-2484916.9800000191</v>
      </c>
      <c r="L125" s="436"/>
    </row>
    <row r="126" spans="1:12" ht="39" thickBot="1" x14ac:dyDescent="0.25">
      <c r="A126" s="300" t="s">
        <v>180</v>
      </c>
      <c r="B126" s="230"/>
      <c r="C126" s="194" t="s">
        <v>4</v>
      </c>
      <c r="D126" s="195" t="s">
        <v>5</v>
      </c>
      <c r="E126" s="203"/>
      <c r="F126" s="203"/>
      <c r="G126" s="195" t="s">
        <v>4</v>
      </c>
      <c r="H126" s="195" t="s">
        <v>5</v>
      </c>
    </row>
    <row r="127" spans="1:12" ht="13.5" thickBot="1" x14ac:dyDescent="0.25">
      <c r="A127" s="196"/>
      <c r="B127" s="226"/>
      <c r="C127" s="495" t="s">
        <v>42</v>
      </c>
      <c r="D127" s="496"/>
      <c r="E127" s="203"/>
      <c r="F127" s="226"/>
      <c r="G127" s="495" t="s">
        <v>15</v>
      </c>
      <c r="H127" s="496"/>
    </row>
    <row r="128" spans="1:12" x14ac:dyDescent="0.2">
      <c r="A128" s="196" t="s">
        <v>96</v>
      </c>
      <c r="B128" s="227"/>
      <c r="C128" s="256">
        <v>994165248</v>
      </c>
      <c r="D128" s="257">
        <f>'BR A-129 Credit'!G43</f>
        <v>2358047908</v>
      </c>
      <c r="E128" s="203"/>
      <c r="F128" s="227"/>
      <c r="G128" s="260">
        <v>4259699</v>
      </c>
      <c r="H128" s="261">
        <f>'BR A-129 Credit'!I43</f>
        <v>8706891.3715527505</v>
      </c>
    </row>
    <row r="129" spans="1:8" x14ac:dyDescent="0.2">
      <c r="A129" s="196" t="s">
        <v>100</v>
      </c>
      <c r="B129" s="227"/>
      <c r="C129" s="256">
        <v>0</v>
      </c>
      <c r="D129" s="257">
        <v>0</v>
      </c>
      <c r="E129" s="203"/>
      <c r="F129" s="227"/>
      <c r="G129" s="256">
        <v>0</v>
      </c>
      <c r="H129" s="257">
        <v>0</v>
      </c>
    </row>
    <row r="130" spans="1:8" x14ac:dyDescent="0.2">
      <c r="A130" s="196" t="s">
        <v>97</v>
      </c>
      <c r="B130" s="227"/>
      <c r="C130" s="256">
        <v>0</v>
      </c>
      <c r="D130" s="257">
        <v>0</v>
      </c>
      <c r="E130" s="203"/>
      <c r="F130" s="227"/>
      <c r="G130" s="256">
        <v>0</v>
      </c>
      <c r="H130" s="257">
        <v>0</v>
      </c>
    </row>
    <row r="131" spans="1:8" ht="13.5" thickBot="1" x14ac:dyDescent="0.25">
      <c r="A131" s="197" t="s">
        <v>43</v>
      </c>
      <c r="B131" s="228"/>
      <c r="C131" s="258">
        <f>C128</f>
        <v>994165248</v>
      </c>
      <c r="D131" s="259">
        <f>D128</f>
        <v>2358047908</v>
      </c>
      <c r="E131" s="203"/>
      <c r="F131" s="228"/>
      <c r="G131" s="262">
        <f>G128</f>
        <v>4259699</v>
      </c>
      <c r="H131" s="263">
        <f>H128</f>
        <v>8706891.3715527505</v>
      </c>
    </row>
    <row r="132" spans="1:8" ht="13.5" thickBot="1" x14ac:dyDescent="0.25">
      <c r="B132" s="231"/>
      <c r="E132" s="203"/>
      <c r="F132" s="203"/>
    </row>
    <row r="133" spans="1:8" ht="39" thickBot="1" x14ac:dyDescent="0.25">
      <c r="A133" s="300" t="s">
        <v>181</v>
      </c>
      <c r="B133" s="230"/>
      <c r="C133" s="194" t="s">
        <v>4</v>
      </c>
      <c r="D133" s="195" t="s">
        <v>5</v>
      </c>
      <c r="E133" s="203"/>
      <c r="F133" s="203"/>
      <c r="G133" s="195" t="s">
        <v>4</v>
      </c>
      <c r="H133" s="195" t="s">
        <v>5</v>
      </c>
    </row>
    <row r="134" spans="1:8" ht="13.5" thickBot="1" x14ac:dyDescent="0.25">
      <c r="A134" s="196"/>
      <c r="B134" s="226"/>
      <c r="C134" s="495" t="s">
        <v>42</v>
      </c>
      <c r="D134" s="496"/>
      <c r="E134" s="203"/>
      <c r="F134" s="226"/>
      <c r="G134" s="495" t="s">
        <v>15</v>
      </c>
      <c r="H134" s="496"/>
    </row>
    <row r="135" spans="1:8" x14ac:dyDescent="0.2">
      <c r="A135" s="196" t="s">
        <v>98</v>
      </c>
      <c r="B135" s="227"/>
      <c r="C135" s="256">
        <v>642967052</v>
      </c>
      <c r="D135" s="257">
        <f>'BR A-128 Grant'!G43</f>
        <v>1638434854</v>
      </c>
      <c r="E135" s="203"/>
      <c r="F135" s="227"/>
      <c r="G135" s="260">
        <v>2727179</v>
      </c>
      <c r="H135" s="261">
        <f>'BR A-128 Grant'!I43</f>
        <v>6007512.4880242683</v>
      </c>
    </row>
    <row r="136" spans="1:8" x14ac:dyDescent="0.2">
      <c r="A136" s="196" t="s">
        <v>99</v>
      </c>
      <c r="B136" s="227"/>
      <c r="C136" s="256">
        <v>0</v>
      </c>
      <c r="D136" s="257">
        <v>0</v>
      </c>
      <c r="E136" s="203"/>
      <c r="F136" s="227"/>
      <c r="G136" s="256">
        <v>0</v>
      </c>
      <c r="H136" s="257">
        <v>0</v>
      </c>
    </row>
    <row r="137" spans="1:8" x14ac:dyDescent="0.2">
      <c r="A137" s="196" t="s">
        <v>101</v>
      </c>
      <c r="B137" s="227"/>
      <c r="C137" s="256">
        <v>0</v>
      </c>
      <c r="D137" s="257">
        <v>0</v>
      </c>
      <c r="E137" s="203"/>
      <c r="F137" s="227"/>
      <c r="G137" s="256">
        <v>0</v>
      </c>
      <c r="H137" s="257">
        <v>0</v>
      </c>
    </row>
    <row r="138" spans="1:8" ht="13.5" thickBot="1" x14ac:dyDescent="0.25">
      <c r="A138" s="197" t="s">
        <v>43</v>
      </c>
      <c r="B138" s="228"/>
      <c r="C138" s="258">
        <f>C135</f>
        <v>642967052</v>
      </c>
      <c r="D138" s="259">
        <f>D135</f>
        <v>1638434854</v>
      </c>
      <c r="E138" s="203"/>
      <c r="F138" s="228"/>
      <c r="G138" s="262">
        <f>G135</f>
        <v>2727179</v>
      </c>
      <c r="H138" s="263">
        <f>H135</f>
        <v>6007512.4880242683</v>
      </c>
    </row>
    <row r="140" spans="1:8" x14ac:dyDescent="0.2">
      <c r="A140" s="41" t="s">
        <v>143</v>
      </c>
      <c r="C140" s="70">
        <f>C131+C138</f>
        <v>1637132300</v>
      </c>
      <c r="D140" s="70">
        <f>D131+D138</f>
        <v>3996482762</v>
      </c>
      <c r="G140" s="125">
        <f>G131+G138</f>
        <v>6986878</v>
      </c>
      <c r="H140" s="125">
        <f>H131+H138</f>
        <v>14714403.859577019</v>
      </c>
    </row>
    <row r="141" spans="1:8" x14ac:dyDescent="0.2">
      <c r="D141" s="14">
        <f>D109-D140</f>
        <v>0</v>
      </c>
      <c r="H141" s="14">
        <f>H109-H140</f>
        <v>-0.43357701599597931</v>
      </c>
    </row>
  </sheetData>
  <mergeCells count="21">
    <mergeCell ref="C127:D127"/>
    <mergeCell ref="G127:H127"/>
    <mergeCell ref="C134:D134"/>
    <mergeCell ref="G134:H134"/>
    <mergeCell ref="C113:D113"/>
    <mergeCell ref="G113:H113"/>
    <mergeCell ref="C120:D120"/>
    <mergeCell ref="G120:H120"/>
    <mergeCell ref="A2:H2"/>
    <mergeCell ref="A3:H3"/>
    <mergeCell ref="A4:H4"/>
    <mergeCell ref="A5:H5"/>
    <mergeCell ref="B9:D9"/>
    <mergeCell ref="A6:A8"/>
    <mergeCell ref="F9:H9"/>
    <mergeCell ref="F6:F8"/>
    <mergeCell ref="H6:H8"/>
    <mergeCell ref="D6:D8"/>
    <mergeCell ref="B6:B8"/>
    <mergeCell ref="C6:C8"/>
    <mergeCell ref="G6:G8"/>
  </mergeCells>
  <printOptions horizontalCentered="1"/>
  <pageMargins left="0.5" right="0.5" top="0.25" bottom="0.25" header="0.05" footer="0.05"/>
  <pageSetup scale="67" fitToHeight="2" orientation="landscape" r:id="rId1"/>
  <colBreaks count="2" manualBreakCount="2">
    <brk id="8" max="99" man="1"/>
    <brk id="437" max="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84"/>
  <sheetViews>
    <sheetView workbookViewId="0">
      <pane xSplit="2" ySplit="9" topLeftCell="I10" activePane="bottomRight" state="frozen"/>
      <selection pane="topRight" activeCell="C1" sqref="C1"/>
      <selection pane="bottomLeft" activeCell="A10" sqref="A10"/>
      <selection pane="bottomRight" activeCell="L46" sqref="L46:L51"/>
    </sheetView>
  </sheetViews>
  <sheetFormatPr defaultColWidth="9.140625" defaultRowHeight="12.75" x14ac:dyDescent="0.2"/>
  <cols>
    <col min="1" max="1" width="3.5703125" style="4" customWidth="1"/>
    <col min="2" max="2" width="49.85546875" style="4" customWidth="1"/>
    <col min="3" max="3" width="14.5703125" style="4" bestFit="1" customWidth="1"/>
    <col min="4" max="4" width="12" style="4" bestFit="1" customWidth="1"/>
    <col min="5" max="5" width="13.5703125" style="4" bestFit="1" customWidth="1"/>
    <col min="6" max="6" width="7" style="4" bestFit="1" customWidth="1"/>
    <col min="7" max="7" width="17.140625" style="4" customWidth="1"/>
    <col min="8" max="8" width="13.5703125" style="4" bestFit="1" customWidth="1"/>
    <col min="9" max="9" width="13.7109375" style="4" customWidth="1"/>
    <col min="10" max="10" width="13.5703125" style="4" bestFit="1" customWidth="1"/>
    <col min="11" max="11" width="7" style="4" bestFit="1" customWidth="1"/>
    <col min="12" max="12" width="14.5703125" style="4" bestFit="1" customWidth="1"/>
    <col min="13" max="13" width="13.5703125" style="4" bestFit="1" customWidth="1"/>
    <col min="14" max="14" width="14.5703125" style="4" bestFit="1" customWidth="1"/>
    <col min="15" max="15" width="6.5703125" style="4" bestFit="1" customWidth="1"/>
    <col min="16" max="16" width="5.85546875" style="4" customWidth="1"/>
    <col min="17" max="17" width="6.140625" style="4" bestFit="1" customWidth="1"/>
    <col min="18" max="18" width="14.5703125" style="4" bestFit="1" customWidth="1"/>
    <col min="19" max="19" width="14.28515625" style="4" bestFit="1" customWidth="1"/>
    <col min="20" max="20" width="14.5703125" style="4" bestFit="1" customWidth="1"/>
    <col min="21" max="16384" width="9.140625" style="4"/>
  </cols>
  <sheetData>
    <row r="1" spans="2:20" ht="15" thickBot="1" x14ac:dyDescent="0.25">
      <c r="B1" s="507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413"/>
    </row>
    <row r="2" spans="2:20" ht="15" thickBot="1" x14ac:dyDescent="0.25">
      <c r="B2" s="507" t="s">
        <v>139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413"/>
    </row>
    <row r="3" spans="2:20" ht="15" thickBot="1" x14ac:dyDescent="0.25">
      <c r="B3" s="507" t="s">
        <v>138</v>
      </c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413"/>
    </row>
    <row r="4" spans="2:20" ht="14.25" x14ac:dyDescent="0.2">
      <c r="B4" s="507" t="s">
        <v>177</v>
      </c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413"/>
    </row>
    <row r="5" spans="2:20" ht="15" thickBot="1" x14ac:dyDescent="0.25">
      <c r="B5" s="509" t="s">
        <v>6</v>
      </c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413"/>
    </row>
    <row r="6" spans="2:20" ht="9" customHeight="1" thickBot="1" x14ac:dyDescent="0.25">
      <c r="B6" s="9"/>
      <c r="C6" s="506"/>
      <c r="D6" s="506"/>
      <c r="E6" s="506"/>
      <c r="F6" s="506"/>
      <c r="G6" s="84"/>
      <c r="H6" s="84"/>
      <c r="I6" s="84"/>
      <c r="J6" s="84"/>
      <c r="K6" s="84"/>
      <c r="L6" s="10"/>
      <c r="M6" s="10"/>
      <c r="N6" s="10"/>
      <c r="O6" s="10"/>
      <c r="P6" s="10"/>
    </row>
    <row r="7" spans="2:20" ht="12.95" customHeight="1" x14ac:dyDescent="0.2">
      <c r="B7" s="501" t="s">
        <v>7</v>
      </c>
      <c r="C7" s="503" t="s">
        <v>182</v>
      </c>
      <c r="D7" s="503"/>
      <c r="E7" s="503"/>
      <c r="F7" s="503"/>
      <c r="G7" s="503"/>
      <c r="H7" s="503" t="s">
        <v>167</v>
      </c>
      <c r="I7" s="503"/>
      <c r="J7" s="503"/>
      <c r="K7" s="503"/>
      <c r="L7" s="503" t="s">
        <v>8</v>
      </c>
      <c r="M7" s="503"/>
      <c r="N7" s="503"/>
      <c r="O7" s="504"/>
      <c r="P7" s="418"/>
    </row>
    <row r="8" spans="2:20" x14ac:dyDescent="0.2">
      <c r="B8" s="502"/>
      <c r="C8" s="499" t="s">
        <v>33</v>
      </c>
      <c r="D8" s="499" t="s">
        <v>34</v>
      </c>
      <c r="E8" s="499" t="s">
        <v>9</v>
      </c>
      <c r="F8" s="499"/>
      <c r="G8" s="505" t="s">
        <v>61</v>
      </c>
      <c r="H8" s="499" t="s">
        <v>33</v>
      </c>
      <c r="I8" s="499" t="s">
        <v>34</v>
      </c>
      <c r="J8" s="499" t="s">
        <v>9</v>
      </c>
      <c r="K8" s="499"/>
      <c r="L8" s="499" t="s">
        <v>33</v>
      </c>
      <c r="M8" s="499" t="s">
        <v>34</v>
      </c>
      <c r="N8" s="499" t="s">
        <v>9</v>
      </c>
      <c r="O8" s="500"/>
      <c r="P8" s="418"/>
    </row>
    <row r="9" spans="2:20" x14ac:dyDescent="0.2">
      <c r="B9" s="502"/>
      <c r="C9" s="499"/>
      <c r="D9" s="499"/>
      <c r="E9" s="411" t="s">
        <v>35</v>
      </c>
      <c r="F9" s="411" t="s">
        <v>10</v>
      </c>
      <c r="G9" s="505"/>
      <c r="H9" s="499"/>
      <c r="I9" s="499"/>
      <c r="J9" s="411" t="s">
        <v>35</v>
      </c>
      <c r="K9" s="411" t="s">
        <v>10</v>
      </c>
      <c r="L9" s="499"/>
      <c r="M9" s="499"/>
      <c r="N9" s="411" t="s">
        <v>35</v>
      </c>
      <c r="O9" s="421" t="s">
        <v>10</v>
      </c>
      <c r="P9" s="418"/>
    </row>
    <row r="10" spans="2:20" x14ac:dyDescent="0.2">
      <c r="B10" s="422" t="s">
        <v>131</v>
      </c>
      <c r="C10" s="411"/>
      <c r="D10" s="411"/>
      <c r="E10" s="411"/>
      <c r="F10" s="411"/>
      <c r="G10" s="412"/>
      <c r="H10" s="411"/>
      <c r="I10" s="411"/>
      <c r="J10" s="411"/>
      <c r="K10" s="411"/>
      <c r="L10" s="411"/>
      <c r="M10" s="411"/>
      <c r="N10" s="411"/>
      <c r="O10" s="421"/>
      <c r="P10" s="418"/>
      <c r="Q10" s="414" t="s">
        <v>146</v>
      </c>
      <c r="R10" s="414" t="s">
        <v>160</v>
      </c>
      <c r="S10" s="414" t="s">
        <v>147</v>
      </c>
    </row>
    <row r="11" spans="2:20" ht="40.5" x14ac:dyDescent="0.2">
      <c r="B11" s="423" t="s">
        <v>155</v>
      </c>
      <c r="C11" s="11"/>
      <c r="D11" s="11"/>
      <c r="E11" s="11"/>
      <c r="F11" s="11"/>
      <c r="G11" s="11"/>
      <c r="H11" s="11"/>
      <c r="I11" s="11"/>
      <c r="J11" s="11"/>
      <c r="K11" s="11"/>
      <c r="L11" s="13"/>
      <c r="M11" s="13"/>
      <c r="N11" s="13"/>
      <c r="O11" s="12"/>
      <c r="P11" s="10"/>
      <c r="Q11" s="416" t="s">
        <v>144</v>
      </c>
      <c r="R11" s="47">
        <v>350055000</v>
      </c>
      <c r="S11" s="47">
        <v>123495702</v>
      </c>
    </row>
    <row r="12" spans="2:20" x14ac:dyDescent="0.2">
      <c r="B12" s="278" t="s">
        <v>79</v>
      </c>
      <c r="C12" s="303">
        <f>1671100000*42%/2</f>
        <v>350931000</v>
      </c>
      <c r="D12" s="303">
        <f>'Sources &amp; Application'!B34</f>
        <v>24628428</v>
      </c>
      <c r="E12" s="303">
        <f t="shared" ref="E12:E17" si="0">C12-D12</f>
        <v>326302572</v>
      </c>
      <c r="F12" s="304">
        <f t="shared" ref="F12:F16" si="1">E12/C12</f>
        <v>0.92981974234251175</v>
      </c>
      <c r="G12" s="307"/>
      <c r="H12" s="303">
        <f>1671100000*42%</f>
        <v>701862000</v>
      </c>
      <c r="I12" s="303">
        <f t="shared" ref="I12:I14" si="2">0+D12</f>
        <v>24628428</v>
      </c>
      <c r="J12" s="305">
        <f>H12-I12</f>
        <v>677233572</v>
      </c>
      <c r="K12" s="304">
        <f>J12/H12</f>
        <v>0.96490987117125593</v>
      </c>
      <c r="L12" s="306">
        <f>18952500+H12</f>
        <v>720814500</v>
      </c>
      <c r="M12" s="303">
        <f>18519285+D12</f>
        <v>43147713</v>
      </c>
      <c r="N12" s="303">
        <f>L12-M12</f>
        <v>677666787</v>
      </c>
      <c r="O12" s="308">
        <f>N12/L12</f>
        <v>0.94014033707701494</v>
      </c>
      <c r="P12" s="420"/>
      <c r="Q12" s="416" t="s">
        <v>145</v>
      </c>
      <c r="R12" s="47">
        <f>3886434225+2012920000</f>
        <v>5899354225</v>
      </c>
      <c r="S12" s="47">
        <v>311082612</v>
      </c>
    </row>
    <row r="13" spans="2:20" x14ac:dyDescent="0.2">
      <c r="B13" s="278" t="s">
        <v>80</v>
      </c>
      <c r="C13" s="303">
        <f>2253500000*42%/2</f>
        <v>473235000</v>
      </c>
      <c r="D13" s="47">
        <f>'Sources &amp; Application'!B35</f>
        <v>2243155</v>
      </c>
      <c r="E13" s="47">
        <f t="shared" si="0"/>
        <v>470991845</v>
      </c>
      <c r="F13" s="304">
        <f t="shared" si="1"/>
        <v>0.9952599554132725</v>
      </c>
      <c r="G13" s="78"/>
      <c r="H13" s="303">
        <f>2253500000*42%</f>
        <v>946470000</v>
      </c>
      <c r="I13" s="303">
        <f t="shared" si="2"/>
        <v>2243155</v>
      </c>
      <c r="J13" s="239">
        <f t="shared" ref="J13:J17" si="3">H13-I13</f>
        <v>944226845</v>
      </c>
      <c r="K13" s="304">
        <f>J13/H13</f>
        <v>0.9976299777066362</v>
      </c>
      <c r="L13" s="306">
        <f>167076000+H13</f>
        <v>1113546000</v>
      </c>
      <c r="M13" s="303">
        <f>0+D13</f>
        <v>2243155</v>
      </c>
      <c r="N13" s="47">
        <f t="shared" ref="N13:N17" si="4">L13-M13</f>
        <v>1111302845</v>
      </c>
      <c r="O13" s="308">
        <f>N13/L13</f>
        <v>0.99798557491113971</v>
      </c>
      <c r="P13" s="420"/>
      <c r="Q13" s="416" t="s">
        <v>168</v>
      </c>
      <c r="R13" s="47">
        <v>8477786517</v>
      </c>
      <c r="S13" s="47">
        <v>1050138166</v>
      </c>
    </row>
    <row r="14" spans="2:20" x14ac:dyDescent="0.2">
      <c r="B14" s="278" t="s">
        <v>38</v>
      </c>
      <c r="C14" s="303">
        <f>627000000*42%</f>
        <v>263340000</v>
      </c>
      <c r="D14" s="47">
        <f>'Sources &amp; Application'!B36</f>
        <v>147968172</v>
      </c>
      <c r="E14" s="47">
        <f t="shared" si="0"/>
        <v>115371828</v>
      </c>
      <c r="F14" s="78">
        <f t="shared" si="1"/>
        <v>0.43810977443609023</v>
      </c>
      <c r="G14" s="78"/>
      <c r="H14" s="303">
        <f>627000000*42%</f>
        <v>263340000</v>
      </c>
      <c r="I14" s="303">
        <f t="shared" si="2"/>
        <v>147968172</v>
      </c>
      <c r="J14" s="239">
        <f t="shared" si="3"/>
        <v>115371828</v>
      </c>
      <c r="K14" s="78">
        <f t="shared" ref="K14:K17" si="5">J14/H14</f>
        <v>0.43810977443609023</v>
      </c>
      <c r="L14" s="306">
        <f>383079375+H14</f>
        <v>646419375</v>
      </c>
      <c r="M14" s="303">
        <f>0+D14</f>
        <v>147968172</v>
      </c>
      <c r="N14" s="47">
        <f t="shared" si="4"/>
        <v>498451203</v>
      </c>
      <c r="O14" s="309">
        <f t="shared" ref="O14:O17" si="6">N14/L14</f>
        <v>0.77109570393059457</v>
      </c>
      <c r="P14" s="419"/>
      <c r="Q14" s="417" t="s">
        <v>172</v>
      </c>
      <c r="R14" s="415"/>
      <c r="S14" s="331"/>
    </row>
    <row r="15" spans="2:20" ht="14.25" customHeight="1" x14ac:dyDescent="0.2">
      <c r="B15" s="278" t="s">
        <v>39</v>
      </c>
      <c r="C15" s="303">
        <f>2766923833*42%/2</f>
        <v>581054004.92999995</v>
      </c>
      <c r="D15" s="47">
        <f>'Sources &amp; Application'!B37</f>
        <v>209405924</v>
      </c>
      <c r="E15" s="47">
        <f t="shared" si="0"/>
        <v>371648080.92999995</v>
      </c>
      <c r="F15" s="78">
        <f>E15/C15</f>
        <v>0.6396102217293429</v>
      </c>
      <c r="G15" s="273"/>
      <c r="H15" s="303">
        <f>2766923833*42%+252</f>
        <v>1162108261.8599999</v>
      </c>
      <c r="I15" s="303">
        <f>D15+34868139</f>
        <v>244274063</v>
      </c>
      <c r="J15" s="239">
        <f t="shared" si="3"/>
        <v>917834198.8599999</v>
      </c>
      <c r="K15" s="78">
        <f t="shared" si="5"/>
        <v>0.78980094108527399</v>
      </c>
      <c r="L15" s="306">
        <f>1076813000+H15</f>
        <v>2238921261.8599997</v>
      </c>
      <c r="M15" s="303">
        <f>176937058+D15</f>
        <v>386342982</v>
      </c>
      <c r="N15" s="47">
        <f t="shared" si="4"/>
        <v>1852578279.8599997</v>
      </c>
      <c r="O15" s="309">
        <f t="shared" si="6"/>
        <v>0.82744235423489487</v>
      </c>
      <c r="P15" s="419"/>
      <c r="Q15" s="417" t="s">
        <v>173</v>
      </c>
      <c r="R15" s="415"/>
      <c r="S15" s="331"/>
    </row>
    <row r="16" spans="2:20" x14ac:dyDescent="0.2">
      <c r="B16" s="278" t="s">
        <v>57</v>
      </c>
      <c r="C16" s="303">
        <f>5300000*42%/2</f>
        <v>1113000</v>
      </c>
      <c r="D16" s="303">
        <f>'Sources &amp; Application'!B38</f>
        <v>746465</v>
      </c>
      <c r="E16" s="303">
        <f t="shared" si="0"/>
        <v>366535</v>
      </c>
      <c r="F16" s="304">
        <f t="shared" si="1"/>
        <v>0.32932165318957773</v>
      </c>
      <c r="G16" s="273"/>
      <c r="H16" s="303">
        <f>5300000*42%</f>
        <v>2226000</v>
      </c>
      <c r="I16" s="303">
        <f>D16+292013</f>
        <v>1038478</v>
      </c>
      <c r="J16" s="305">
        <f t="shared" si="3"/>
        <v>1187522</v>
      </c>
      <c r="K16" s="304">
        <f t="shared" si="5"/>
        <v>0.53347798742138364</v>
      </c>
      <c r="L16" s="306">
        <f>2436000+H16</f>
        <v>4662000</v>
      </c>
      <c r="M16" s="303">
        <f>1359475+D16</f>
        <v>2105940</v>
      </c>
      <c r="N16" s="303">
        <f t="shared" si="4"/>
        <v>2556060</v>
      </c>
      <c r="O16" s="308">
        <f t="shared" si="6"/>
        <v>0.54827541827541826</v>
      </c>
      <c r="P16" s="420"/>
      <c r="Q16" s="90" t="s">
        <v>142</v>
      </c>
      <c r="R16" s="276">
        <f>R11+R12+R13</f>
        <v>14727195742</v>
      </c>
      <c r="S16" s="276">
        <f>S11+S12+S13</f>
        <v>1484716480</v>
      </c>
      <c r="T16" s="327">
        <f>R16-S16</f>
        <v>13242479262</v>
      </c>
    </row>
    <row r="17" spans="2:18" x14ac:dyDescent="0.2">
      <c r="B17" s="278" t="s">
        <v>66</v>
      </c>
      <c r="C17" s="303">
        <f>77267084*42%/2</f>
        <v>16226087.639999999</v>
      </c>
      <c r="D17" s="47">
        <f>'Sources &amp; Application'!B39</f>
        <v>12782092</v>
      </c>
      <c r="E17" s="47">
        <f t="shared" si="0"/>
        <v>3443995.6399999987</v>
      </c>
      <c r="F17" s="78">
        <f>E17/C17</f>
        <v>0.21225052621495633</v>
      </c>
      <c r="G17" s="273"/>
      <c r="H17" s="303">
        <f>77267084*42%</f>
        <v>32452175.279999997</v>
      </c>
      <c r="I17" s="303">
        <f>D17+7525907</f>
        <v>20307999</v>
      </c>
      <c r="J17" s="239">
        <f t="shared" si="3"/>
        <v>12144176.279999997</v>
      </c>
      <c r="K17" s="78">
        <f t="shared" si="5"/>
        <v>0.37421763488022175</v>
      </c>
      <c r="L17" s="306">
        <f>63117600+H17</f>
        <v>95569775.280000001</v>
      </c>
      <c r="M17" s="303">
        <f>30846037+D17</f>
        <v>43628129</v>
      </c>
      <c r="N17" s="47">
        <f t="shared" si="4"/>
        <v>51941646.280000001</v>
      </c>
      <c r="O17" s="309">
        <f t="shared" si="6"/>
        <v>0.54349449005003458</v>
      </c>
      <c r="P17" s="419"/>
      <c r="Q17" s="14"/>
      <c r="R17" s="370"/>
    </row>
    <row r="18" spans="2:18" x14ac:dyDescent="0.2">
      <c r="B18" s="290" t="s">
        <v>133</v>
      </c>
      <c r="C18" s="274">
        <f>SUM(C12:C17)</f>
        <v>1685899092.5699999</v>
      </c>
      <c r="D18" s="274">
        <f>SUM(D12:D17)</f>
        <v>397774236</v>
      </c>
      <c r="E18" s="274">
        <f>SUM(E12:E17)</f>
        <v>1288124856.5699999</v>
      </c>
      <c r="F18" s="90"/>
      <c r="G18" s="275"/>
      <c r="H18" s="274">
        <f t="shared" ref="H18:J18" si="7">SUM(H12:H17)</f>
        <v>3108458437.1399999</v>
      </c>
      <c r="I18" s="274">
        <f>SUM(I12:I17)</f>
        <v>440460295</v>
      </c>
      <c r="J18" s="274">
        <f t="shared" si="7"/>
        <v>2667998142.1399999</v>
      </c>
      <c r="K18" s="90"/>
      <c r="L18" s="274">
        <f>SUM(L12:L17)</f>
        <v>4819932912.1399994</v>
      </c>
      <c r="M18" s="274">
        <f>SUM(M12:M17)</f>
        <v>625436091</v>
      </c>
      <c r="N18" s="274">
        <f>SUM(N12:N17)</f>
        <v>4194496821.1399999</v>
      </c>
      <c r="O18" s="310"/>
      <c r="P18" s="106"/>
      <c r="Q18" s="14"/>
      <c r="R18" s="370"/>
    </row>
    <row r="19" spans="2:18" ht="40.5" x14ac:dyDescent="0.2">
      <c r="B19" s="423" t="s">
        <v>156</v>
      </c>
      <c r="C19" s="11"/>
      <c r="D19" s="11"/>
      <c r="E19" s="11"/>
      <c r="F19" s="11"/>
      <c r="G19" s="277"/>
      <c r="H19" s="11"/>
      <c r="I19" s="11"/>
      <c r="J19" s="11"/>
      <c r="K19" s="11"/>
      <c r="L19" s="13"/>
      <c r="M19" s="13"/>
      <c r="N19" s="13"/>
      <c r="O19" s="12"/>
      <c r="P19" s="10"/>
      <c r="Q19" s="14"/>
      <c r="R19" s="57"/>
    </row>
    <row r="20" spans="2:18" x14ac:dyDescent="0.2">
      <c r="B20" s="278" t="s">
        <v>79</v>
      </c>
      <c r="C20" s="11">
        <v>1000000</v>
      </c>
      <c r="D20" s="326">
        <f>'Sources &amp; Application'!B43</f>
        <v>630000</v>
      </c>
      <c r="E20" s="47">
        <f t="shared" ref="E20:E25" si="8">C20-D20</f>
        <v>370000</v>
      </c>
      <c r="F20" s="78">
        <f>E20/C20</f>
        <v>0.37</v>
      </c>
      <c r="G20" s="277"/>
      <c r="H20" s="11">
        <v>1000000</v>
      </c>
      <c r="I20" s="11">
        <f t="shared" ref="I20:I25" si="9">D20+0</f>
        <v>630000</v>
      </c>
      <c r="J20" s="239">
        <f t="shared" ref="J20:J25" si="10">H20-I20</f>
        <v>370000</v>
      </c>
      <c r="K20" s="78">
        <f t="shared" ref="K20:K22" si="11">J20/H20</f>
        <v>0.37</v>
      </c>
      <c r="L20" s="306">
        <f>H20+0</f>
        <v>1000000</v>
      </c>
      <c r="M20" s="303">
        <f t="shared" ref="M20:M25" si="12">0+D20</f>
        <v>630000</v>
      </c>
      <c r="N20" s="47">
        <f t="shared" ref="N20:N25" si="13">L20-M20</f>
        <v>370000</v>
      </c>
      <c r="O20" s="308">
        <f>N20/L20</f>
        <v>0.37</v>
      </c>
      <c r="P20" s="10"/>
      <c r="Q20" s="14"/>
      <c r="R20" s="57"/>
    </row>
    <row r="21" spans="2:18" x14ac:dyDescent="0.2">
      <c r="B21" s="278" t="s">
        <v>80</v>
      </c>
      <c r="C21" s="11">
        <v>0</v>
      </c>
      <c r="D21" s="326">
        <f>'Sources &amp; Application'!B44</f>
        <v>0</v>
      </c>
      <c r="E21" s="47">
        <f t="shared" si="8"/>
        <v>0</v>
      </c>
      <c r="F21" s="11"/>
      <c r="G21" s="277"/>
      <c r="H21" s="11">
        <v>0</v>
      </c>
      <c r="I21" s="11">
        <f t="shared" si="9"/>
        <v>0</v>
      </c>
      <c r="J21" s="239">
        <f t="shared" si="10"/>
        <v>0</v>
      </c>
      <c r="K21" s="78"/>
      <c r="L21" s="306">
        <f>H21+0</f>
        <v>0</v>
      </c>
      <c r="M21" s="303">
        <f t="shared" si="12"/>
        <v>0</v>
      </c>
      <c r="N21" s="47">
        <f t="shared" si="13"/>
        <v>0</v>
      </c>
      <c r="O21" s="12"/>
      <c r="P21" s="10"/>
      <c r="Q21" s="14"/>
      <c r="R21" s="57"/>
    </row>
    <row r="22" spans="2:18" x14ac:dyDescent="0.2">
      <c r="B22" s="278" t="s">
        <v>38</v>
      </c>
      <c r="C22" s="11">
        <f>99000000*42%/2-1000000</f>
        <v>19790000</v>
      </c>
      <c r="D22" s="326">
        <f>'Sources &amp; Application'!B45</f>
        <v>0</v>
      </c>
      <c r="E22" s="47">
        <f t="shared" si="8"/>
        <v>19790000</v>
      </c>
      <c r="F22" s="78">
        <f>E22/C22</f>
        <v>1</v>
      </c>
      <c r="G22" s="273"/>
      <c r="H22" s="11">
        <f>99000000*42%-1000000</f>
        <v>40580000</v>
      </c>
      <c r="I22" s="11">
        <f t="shared" si="9"/>
        <v>0</v>
      </c>
      <c r="J22" s="239">
        <f t="shared" si="10"/>
        <v>40580000</v>
      </c>
      <c r="K22" s="78">
        <f t="shared" si="11"/>
        <v>1</v>
      </c>
      <c r="L22" s="306">
        <f>67851000+H22</f>
        <v>108431000</v>
      </c>
      <c r="M22" s="303">
        <f t="shared" si="12"/>
        <v>0</v>
      </c>
      <c r="N22" s="47">
        <f t="shared" si="13"/>
        <v>108431000</v>
      </c>
      <c r="O22" s="308">
        <f>N22/L22</f>
        <v>1</v>
      </c>
      <c r="P22" s="420"/>
      <c r="Q22" s="14"/>
      <c r="R22" s="57"/>
    </row>
    <row r="23" spans="2:18" x14ac:dyDescent="0.2">
      <c r="B23" s="278" t="s">
        <v>39</v>
      </c>
      <c r="C23" s="11">
        <v>0</v>
      </c>
      <c r="D23" s="326">
        <f>'Sources &amp; Application'!B46</f>
        <v>0</v>
      </c>
      <c r="E23" s="47">
        <f t="shared" si="8"/>
        <v>0</v>
      </c>
      <c r="F23" s="78"/>
      <c r="G23" s="273"/>
      <c r="H23" s="11">
        <v>0</v>
      </c>
      <c r="I23" s="11">
        <f t="shared" si="9"/>
        <v>0</v>
      </c>
      <c r="J23" s="239">
        <f t="shared" si="10"/>
        <v>0</v>
      </c>
      <c r="K23" s="78"/>
      <c r="L23" s="306">
        <f>H23+0</f>
        <v>0</v>
      </c>
      <c r="M23" s="303">
        <f t="shared" si="12"/>
        <v>0</v>
      </c>
      <c r="N23" s="47">
        <f t="shared" si="13"/>
        <v>0</v>
      </c>
      <c r="O23" s="311"/>
      <c r="P23" s="46"/>
      <c r="Q23" s="14"/>
      <c r="R23" s="57"/>
    </row>
    <row r="24" spans="2:18" x14ac:dyDescent="0.2">
      <c r="B24" s="278" t="s">
        <v>57</v>
      </c>
      <c r="C24" s="11">
        <v>0</v>
      </c>
      <c r="D24" s="326">
        <f>'Sources &amp; Application'!B47</f>
        <v>0</v>
      </c>
      <c r="E24" s="47">
        <f t="shared" si="8"/>
        <v>0</v>
      </c>
      <c r="F24" s="78"/>
      <c r="G24" s="273"/>
      <c r="H24" s="11">
        <v>0</v>
      </c>
      <c r="I24" s="11">
        <f t="shared" si="9"/>
        <v>0</v>
      </c>
      <c r="J24" s="239">
        <f t="shared" si="10"/>
        <v>0</v>
      </c>
      <c r="K24" s="78"/>
      <c r="L24" s="306">
        <f>H24+0</f>
        <v>0</v>
      </c>
      <c r="M24" s="303">
        <f t="shared" si="12"/>
        <v>0</v>
      </c>
      <c r="N24" s="47">
        <f t="shared" si="13"/>
        <v>0</v>
      </c>
      <c r="O24" s="309"/>
      <c r="P24" s="419"/>
      <c r="Q24" s="14"/>
      <c r="R24" s="57"/>
    </row>
    <row r="25" spans="2:18" x14ac:dyDescent="0.2">
      <c r="B25" s="278" t="s">
        <v>66</v>
      </c>
      <c r="C25" s="11">
        <v>0</v>
      </c>
      <c r="D25" s="326">
        <f>'Sources &amp; Application'!B48</f>
        <v>0</v>
      </c>
      <c r="E25" s="47">
        <f t="shared" si="8"/>
        <v>0</v>
      </c>
      <c r="F25" s="78"/>
      <c r="G25" s="273"/>
      <c r="H25" s="11">
        <v>0</v>
      </c>
      <c r="I25" s="11">
        <f t="shared" si="9"/>
        <v>0</v>
      </c>
      <c r="J25" s="239">
        <f t="shared" si="10"/>
        <v>0</v>
      </c>
      <c r="K25" s="78"/>
      <c r="L25" s="306">
        <f>H25+0</f>
        <v>0</v>
      </c>
      <c r="M25" s="303">
        <f t="shared" si="12"/>
        <v>0</v>
      </c>
      <c r="N25" s="47">
        <f t="shared" si="13"/>
        <v>0</v>
      </c>
      <c r="O25" s="311"/>
      <c r="P25" s="46"/>
      <c r="Q25" s="14"/>
      <c r="R25" s="57"/>
    </row>
    <row r="26" spans="2:18" x14ac:dyDescent="0.2">
      <c r="B26" s="290" t="s">
        <v>134</v>
      </c>
      <c r="C26" s="274">
        <f>SUM(C20:C25)</f>
        <v>20790000</v>
      </c>
      <c r="D26" s="283">
        <f>SUM(D20:D25)</f>
        <v>630000</v>
      </c>
      <c r="E26" s="283">
        <f>SUM(E20:E25)</f>
        <v>20160000</v>
      </c>
      <c r="F26" s="90"/>
      <c r="G26" s="275"/>
      <c r="H26" s="283">
        <f t="shared" ref="H26:J26" si="14">SUM(H20:H25)</f>
        <v>41580000</v>
      </c>
      <c r="I26" s="283">
        <f t="shared" si="14"/>
        <v>630000</v>
      </c>
      <c r="J26" s="283">
        <f t="shared" si="14"/>
        <v>40950000</v>
      </c>
      <c r="K26" s="90"/>
      <c r="L26" s="283">
        <f t="shared" ref="L26" si="15">SUM(L20:L25)</f>
        <v>109431000</v>
      </c>
      <c r="M26" s="283">
        <f t="shared" ref="M26" si="16">SUM(M20:M25)</f>
        <v>630000</v>
      </c>
      <c r="N26" s="283">
        <f t="shared" ref="N26" si="17">SUM(N20:N25)</f>
        <v>108801000</v>
      </c>
      <c r="O26" s="310"/>
      <c r="P26" s="106"/>
      <c r="Q26" s="14"/>
      <c r="R26" s="57"/>
    </row>
    <row r="27" spans="2:18" ht="27" x14ac:dyDescent="0.2">
      <c r="B27" s="423" t="s">
        <v>157</v>
      </c>
      <c r="C27" s="274"/>
      <c r="D27" s="283"/>
      <c r="E27" s="283"/>
      <c r="F27" s="90"/>
      <c r="G27" s="275"/>
      <c r="H27" s="283"/>
      <c r="I27" s="283"/>
      <c r="J27" s="283"/>
      <c r="K27" s="90"/>
      <c r="L27" s="283"/>
      <c r="M27" s="283"/>
      <c r="N27" s="283"/>
      <c r="O27" s="310"/>
      <c r="P27" s="106"/>
      <c r="Q27" s="14"/>
      <c r="R27" s="57"/>
    </row>
    <row r="28" spans="2:18" x14ac:dyDescent="0.2">
      <c r="B28" s="278" t="s">
        <v>79</v>
      </c>
      <c r="C28" s="11">
        <f>570000000/2</f>
        <v>285000000</v>
      </c>
      <c r="D28" s="284">
        <f>'Sources &amp; Application'!B52</f>
        <v>0</v>
      </c>
      <c r="E28" s="47">
        <f t="shared" ref="E28:E33" si="18">C28-D28</f>
        <v>285000000</v>
      </c>
      <c r="F28" s="90"/>
      <c r="G28" s="275"/>
      <c r="H28" s="11">
        <f>570000000</f>
        <v>570000000</v>
      </c>
      <c r="I28" s="11">
        <f t="shared" ref="I28:I33" si="19">D28+0</f>
        <v>0</v>
      </c>
      <c r="J28" s="239">
        <f t="shared" ref="J28:J33" si="20">H28-I28</f>
        <v>570000000</v>
      </c>
      <c r="K28" s="78">
        <f t="shared" ref="K28:K31" si="21">J28/H28</f>
        <v>1</v>
      </c>
      <c r="L28" s="306">
        <f>168000000+232000000+H28</f>
        <v>970000000</v>
      </c>
      <c r="M28" s="287">
        <f t="shared" ref="M28:M33" si="22">0+D28</f>
        <v>0</v>
      </c>
      <c r="N28" s="303">
        <f>L28-M28</f>
        <v>970000000</v>
      </c>
      <c r="O28" s="308">
        <f t="shared" ref="O28:O31" si="23">N28/L28</f>
        <v>1</v>
      </c>
      <c r="P28" s="420"/>
      <c r="Q28" s="14"/>
      <c r="R28" s="57"/>
    </row>
    <row r="29" spans="2:18" x14ac:dyDescent="0.2">
      <c r="B29" s="278" t="s">
        <v>80</v>
      </c>
      <c r="C29" s="11">
        <f>400000000/2</f>
        <v>200000000</v>
      </c>
      <c r="D29" s="284">
        <f>'Sources &amp; Application'!B53</f>
        <v>0</v>
      </c>
      <c r="E29" s="47">
        <f t="shared" si="18"/>
        <v>200000000</v>
      </c>
      <c r="F29" s="90"/>
      <c r="G29" s="275"/>
      <c r="H29" s="11">
        <f>400000000</f>
        <v>400000000</v>
      </c>
      <c r="I29" s="11">
        <f t="shared" si="19"/>
        <v>0</v>
      </c>
      <c r="J29" s="239">
        <f t="shared" si="20"/>
        <v>400000000</v>
      </c>
      <c r="K29" s="78">
        <f t="shared" si="21"/>
        <v>1</v>
      </c>
      <c r="L29" s="306">
        <f>672000000+928000000+H29</f>
        <v>2000000000</v>
      </c>
      <c r="M29" s="287">
        <f t="shared" si="22"/>
        <v>0</v>
      </c>
      <c r="N29" s="47">
        <f t="shared" ref="N29:N33" si="24">L29-M29</f>
        <v>2000000000</v>
      </c>
      <c r="O29" s="308">
        <f t="shared" si="23"/>
        <v>1</v>
      </c>
      <c r="P29" s="420"/>
      <c r="Q29" s="14"/>
      <c r="R29" s="57"/>
    </row>
    <row r="30" spans="2:18" x14ac:dyDescent="0.2">
      <c r="B30" s="278" t="s">
        <v>38</v>
      </c>
      <c r="C30" s="11">
        <v>0</v>
      </c>
      <c r="D30" s="284">
        <f>'Sources &amp; Application'!B54</f>
        <v>0</v>
      </c>
      <c r="E30" s="47">
        <f t="shared" si="18"/>
        <v>0</v>
      </c>
      <c r="F30" s="90"/>
      <c r="G30" s="275"/>
      <c r="H30" s="11">
        <v>0</v>
      </c>
      <c r="I30" s="11">
        <f t="shared" si="19"/>
        <v>0</v>
      </c>
      <c r="J30" s="239">
        <f t="shared" si="20"/>
        <v>0</v>
      </c>
      <c r="K30" s="90"/>
      <c r="L30" s="306">
        <f>H30+0</f>
        <v>0</v>
      </c>
      <c r="M30" s="287">
        <f t="shared" si="22"/>
        <v>0</v>
      </c>
      <c r="N30" s="47">
        <f t="shared" si="24"/>
        <v>0</v>
      </c>
      <c r="O30" s="310"/>
      <c r="P30" s="106"/>
      <c r="Q30" s="14"/>
      <c r="R30" s="57"/>
    </row>
    <row r="31" spans="2:18" x14ac:dyDescent="0.2">
      <c r="B31" s="278" t="s">
        <v>39</v>
      </c>
      <c r="C31" s="11">
        <f>7695000/2</f>
        <v>3847500</v>
      </c>
      <c r="D31" s="284">
        <f>'Sources &amp; Application'!B55</f>
        <v>0</v>
      </c>
      <c r="E31" s="47">
        <f t="shared" si="18"/>
        <v>3847500</v>
      </c>
      <c r="F31" s="90"/>
      <c r="G31" s="275"/>
      <c r="H31" s="11">
        <f>7695000</f>
        <v>7695000</v>
      </c>
      <c r="I31" s="11">
        <f t="shared" si="19"/>
        <v>0</v>
      </c>
      <c r="J31" s="239">
        <f t="shared" si="20"/>
        <v>7695000</v>
      </c>
      <c r="K31" s="78">
        <f t="shared" si="21"/>
        <v>1</v>
      </c>
      <c r="L31" s="306">
        <f>5426400+7493600+H31</f>
        <v>20615000</v>
      </c>
      <c r="M31" s="287">
        <f t="shared" si="22"/>
        <v>0</v>
      </c>
      <c r="N31" s="47">
        <f t="shared" si="24"/>
        <v>20615000</v>
      </c>
      <c r="O31" s="308">
        <f t="shared" si="23"/>
        <v>1</v>
      </c>
      <c r="P31" s="420"/>
      <c r="Q31" s="14"/>
      <c r="R31" s="57"/>
    </row>
    <row r="32" spans="2:18" x14ac:dyDescent="0.2">
      <c r="B32" s="278" t="s">
        <v>57</v>
      </c>
      <c r="C32" s="11">
        <v>0</v>
      </c>
      <c r="D32" s="284">
        <f>'Sources &amp; Application'!B56</f>
        <v>0</v>
      </c>
      <c r="E32" s="47">
        <f t="shared" si="18"/>
        <v>0</v>
      </c>
      <c r="F32" s="90"/>
      <c r="G32" s="275"/>
      <c r="H32" s="11">
        <v>0</v>
      </c>
      <c r="I32" s="11">
        <f t="shared" si="19"/>
        <v>0</v>
      </c>
      <c r="J32" s="239">
        <f t="shared" si="20"/>
        <v>0</v>
      </c>
      <c r="K32" s="90"/>
      <c r="L32" s="306">
        <f>H32+0</f>
        <v>0</v>
      </c>
      <c r="M32" s="287">
        <f t="shared" si="22"/>
        <v>0</v>
      </c>
      <c r="N32" s="303">
        <f t="shared" si="24"/>
        <v>0</v>
      </c>
      <c r="O32" s="310"/>
      <c r="P32" s="106"/>
      <c r="Q32" s="14"/>
      <c r="R32" s="57"/>
    </row>
    <row r="33" spans="2:18" x14ac:dyDescent="0.2">
      <c r="B33" s="278" t="s">
        <v>66</v>
      </c>
      <c r="C33" s="11">
        <v>0</v>
      </c>
      <c r="D33" s="284">
        <f>'Sources &amp; Application'!B57</f>
        <v>0</v>
      </c>
      <c r="E33" s="47">
        <f t="shared" si="18"/>
        <v>0</v>
      </c>
      <c r="F33" s="90"/>
      <c r="G33" s="275"/>
      <c r="H33" s="11">
        <v>0</v>
      </c>
      <c r="I33" s="11">
        <f t="shared" si="19"/>
        <v>0</v>
      </c>
      <c r="J33" s="239">
        <f t="shared" si="20"/>
        <v>0</v>
      </c>
      <c r="K33" s="78"/>
      <c r="L33" s="306">
        <f>H33+0</f>
        <v>0</v>
      </c>
      <c r="M33" s="287">
        <f t="shared" si="22"/>
        <v>0</v>
      </c>
      <c r="N33" s="47">
        <f t="shared" si="24"/>
        <v>0</v>
      </c>
      <c r="O33" s="308"/>
      <c r="P33" s="420"/>
      <c r="Q33" s="14"/>
      <c r="R33" s="57"/>
    </row>
    <row r="34" spans="2:18" x14ac:dyDescent="0.2">
      <c r="B34" s="290" t="s">
        <v>151</v>
      </c>
      <c r="C34" s="283">
        <f>SUM(C28:C33)</f>
        <v>488847500</v>
      </c>
      <c r="D34" s="283">
        <f t="shared" ref="D34:E34" si="25">SUM(D28:D33)</f>
        <v>0</v>
      </c>
      <c r="E34" s="283">
        <f t="shared" si="25"/>
        <v>488847500</v>
      </c>
      <c r="F34" s="78"/>
      <c r="G34" s="273"/>
      <c r="H34" s="283">
        <f t="shared" ref="H34:J34" si="26">SUM(H28:H33)</f>
        <v>977695000</v>
      </c>
      <c r="I34" s="284">
        <f t="shared" si="26"/>
        <v>0</v>
      </c>
      <c r="J34" s="283">
        <f t="shared" si="26"/>
        <v>977695000</v>
      </c>
      <c r="K34" s="78"/>
      <c r="L34" s="283">
        <f t="shared" ref="L34:N34" si="27">SUM(L28:L33)</f>
        <v>2990615000</v>
      </c>
      <c r="M34" s="284">
        <f t="shared" si="27"/>
        <v>0</v>
      </c>
      <c r="N34" s="283">
        <f t="shared" si="27"/>
        <v>2990615000</v>
      </c>
      <c r="O34" s="311"/>
      <c r="P34" s="46"/>
      <c r="Q34" s="14"/>
      <c r="R34" s="57"/>
    </row>
    <row r="35" spans="2:18" x14ac:dyDescent="0.2">
      <c r="B35" s="290" t="s">
        <v>150</v>
      </c>
      <c r="C35" s="274">
        <f>C26+C18+C34</f>
        <v>2195536592.5699997</v>
      </c>
      <c r="D35" s="274">
        <f t="shared" ref="D35:E35" si="28">D26+D18+D34</f>
        <v>398404236</v>
      </c>
      <c r="E35" s="274">
        <f t="shared" si="28"/>
        <v>1797132356.5699999</v>
      </c>
      <c r="F35" s="90"/>
      <c r="G35" s="275"/>
      <c r="H35" s="274">
        <f t="shared" ref="H35:J35" si="29">H26+H18+H34</f>
        <v>4127733437.1399999</v>
      </c>
      <c r="I35" s="369">
        <f t="shared" si="29"/>
        <v>441090295</v>
      </c>
      <c r="J35" s="274">
        <f t="shared" si="29"/>
        <v>3686643142.1399999</v>
      </c>
      <c r="K35" s="90"/>
      <c r="L35" s="274">
        <f t="shared" ref="L35:N35" si="30">L26+L18+L34</f>
        <v>7919978912.1399994</v>
      </c>
      <c r="M35" s="274">
        <f>M26+M18+M34</f>
        <v>626066091</v>
      </c>
      <c r="N35" s="274">
        <f t="shared" si="30"/>
        <v>7293912821.1399994</v>
      </c>
      <c r="O35" s="310"/>
      <c r="P35" s="106"/>
      <c r="Q35" s="14"/>
      <c r="R35" s="57"/>
    </row>
    <row r="36" spans="2:18" x14ac:dyDescent="0.2">
      <c r="B36" s="297" t="s">
        <v>132</v>
      </c>
      <c r="C36" s="274"/>
      <c r="D36" s="274"/>
      <c r="E36" s="274"/>
      <c r="F36" s="90"/>
      <c r="G36" s="275"/>
      <c r="H36" s="274"/>
      <c r="I36" s="274"/>
      <c r="J36" s="274"/>
      <c r="K36" s="90"/>
      <c r="L36" s="274"/>
      <c r="M36" s="274"/>
      <c r="N36" s="274"/>
      <c r="O36" s="310"/>
      <c r="P36" s="106"/>
      <c r="Q36" s="14"/>
      <c r="R36" s="57"/>
    </row>
    <row r="37" spans="2:18" ht="40.5" x14ac:dyDescent="0.2">
      <c r="B37" s="423" t="s">
        <v>158</v>
      </c>
      <c r="C37" s="274"/>
      <c r="D37" s="274"/>
      <c r="E37" s="274"/>
      <c r="F37" s="90"/>
      <c r="G37" s="275"/>
      <c r="H37" s="90"/>
      <c r="I37" s="90"/>
      <c r="J37" s="90"/>
      <c r="K37" s="90"/>
      <c r="L37" s="274"/>
      <c r="M37" s="276"/>
      <c r="N37" s="276"/>
      <c r="O37" s="310"/>
      <c r="P37" s="106"/>
      <c r="Q37" s="14"/>
      <c r="R37" s="57"/>
    </row>
    <row r="38" spans="2:18" x14ac:dyDescent="0.2">
      <c r="B38" s="278" t="s">
        <v>79</v>
      </c>
      <c r="C38" s="305">
        <f>1671100000*58%/2</f>
        <v>484618999.99999994</v>
      </c>
      <c r="D38" s="302">
        <f>'Sources &amp; Application'!B62</f>
        <v>34392318</v>
      </c>
      <c r="E38" s="303">
        <f t="shared" ref="E38:E43" si="31">C38-D38</f>
        <v>450226681.99999994</v>
      </c>
      <c r="F38" s="304">
        <f t="shared" ref="F38:F43" si="32">E38/C38</f>
        <v>0.92903225420381785</v>
      </c>
      <c r="G38" s="307"/>
      <c r="H38" s="305">
        <f>1671100000*58%</f>
        <v>969237999.99999988</v>
      </c>
      <c r="I38" s="305">
        <f t="shared" ref="I38:I40" si="33">0+D38</f>
        <v>34392318</v>
      </c>
      <c r="J38" s="305">
        <f t="shared" ref="J38:J43" si="34">H38-I38</f>
        <v>934845681.99999988</v>
      </c>
      <c r="K38" s="304">
        <f t="shared" ref="K38:K43" si="35">J38/H38</f>
        <v>0.96451612710190893</v>
      </c>
      <c r="L38" s="306">
        <f>26172500+H38</f>
        <v>995410499.99999988</v>
      </c>
      <c r="M38" s="303">
        <f>25574250+D38</f>
        <v>59966568</v>
      </c>
      <c r="N38" s="305">
        <f t="shared" ref="N38:N43" si="36">L38-M38</f>
        <v>935443931.99999988</v>
      </c>
      <c r="O38" s="308">
        <f t="shared" ref="O38:O43" si="37">N38/L38</f>
        <v>0.93975694650598918</v>
      </c>
      <c r="P38" s="420"/>
      <c r="Q38" s="14"/>
      <c r="R38" s="57"/>
    </row>
    <row r="39" spans="2:18" x14ac:dyDescent="0.2">
      <c r="B39" s="278" t="s">
        <v>80</v>
      </c>
      <c r="C39" s="305">
        <f>2253500000*58%/2</f>
        <v>653515000</v>
      </c>
      <c r="D39" s="284">
        <f>'Sources &amp; Application'!B63</f>
        <v>3097691</v>
      </c>
      <c r="E39" s="47">
        <f t="shared" si="31"/>
        <v>650417309</v>
      </c>
      <c r="F39" s="304">
        <f t="shared" si="32"/>
        <v>0.99525995424741587</v>
      </c>
      <c r="G39" s="275"/>
      <c r="H39" s="305">
        <f>2253500000*58%</f>
        <v>1307030000</v>
      </c>
      <c r="I39" s="305">
        <f t="shared" si="33"/>
        <v>3097691</v>
      </c>
      <c r="J39" s="239">
        <f t="shared" si="34"/>
        <v>1303932309</v>
      </c>
      <c r="K39" s="78">
        <f t="shared" si="35"/>
        <v>0.99762997712370793</v>
      </c>
      <c r="L39" s="306">
        <f>230724000+H39</f>
        <v>1537754000</v>
      </c>
      <c r="M39" s="303">
        <f>0+D39</f>
        <v>3097691</v>
      </c>
      <c r="N39" s="239">
        <f t="shared" si="36"/>
        <v>1534656309</v>
      </c>
      <c r="O39" s="308">
        <f>N39/L39</f>
        <v>0.99798557441567382</v>
      </c>
      <c r="P39" s="420"/>
      <c r="Q39" s="14"/>
      <c r="R39" s="57"/>
    </row>
    <row r="40" spans="2:18" x14ac:dyDescent="0.2">
      <c r="B40" s="278" t="s">
        <v>38</v>
      </c>
      <c r="C40" s="305">
        <f>627000000*58%</f>
        <v>363660000</v>
      </c>
      <c r="D40" s="284">
        <f>'Sources &amp; Application'!B64</f>
        <v>204658509</v>
      </c>
      <c r="E40" s="47">
        <f t="shared" si="31"/>
        <v>159001491</v>
      </c>
      <c r="F40" s="78">
        <f t="shared" si="32"/>
        <v>0.43722568058076228</v>
      </c>
      <c r="G40" s="275"/>
      <c r="H40" s="305">
        <f>627000000*58%</f>
        <v>363660000</v>
      </c>
      <c r="I40" s="305">
        <f t="shared" si="33"/>
        <v>204658509</v>
      </c>
      <c r="J40" s="239">
        <f t="shared" si="34"/>
        <v>159001491</v>
      </c>
      <c r="K40" s="78">
        <f t="shared" si="35"/>
        <v>0.43722568058076228</v>
      </c>
      <c r="L40" s="306">
        <f>529014375+H40</f>
        <v>892674375</v>
      </c>
      <c r="M40" s="303">
        <f>0+D40</f>
        <v>204658509</v>
      </c>
      <c r="N40" s="239">
        <f t="shared" si="36"/>
        <v>688015866</v>
      </c>
      <c r="O40" s="309">
        <f t="shared" si="37"/>
        <v>0.77073553948493256</v>
      </c>
      <c r="P40" s="419"/>
      <c r="Q40" s="14"/>
      <c r="R40" s="57"/>
    </row>
    <row r="41" spans="2:18" x14ac:dyDescent="0.2">
      <c r="B41" s="278" t="s">
        <v>39</v>
      </c>
      <c r="C41" s="305">
        <f>2766923833*58%/2</f>
        <v>802407911.56999993</v>
      </c>
      <c r="D41" s="284">
        <f>'Sources &amp; Application'!B65</f>
        <v>288020792</v>
      </c>
      <c r="E41" s="47">
        <f t="shared" si="31"/>
        <v>514387119.56999993</v>
      </c>
      <c r="F41" s="78">
        <f t="shared" si="32"/>
        <v>0.64105439658931651</v>
      </c>
      <c r="G41" s="275"/>
      <c r="H41" s="305">
        <f>2766923833*58%+348</f>
        <v>1604816171.1399999</v>
      </c>
      <c r="I41" s="305">
        <f>D41+47617507</f>
        <v>335638299</v>
      </c>
      <c r="J41" s="239">
        <f t="shared" si="34"/>
        <v>1269177872.1399999</v>
      </c>
      <c r="K41" s="78">
        <f t="shared" si="35"/>
        <v>0.79085561010917815</v>
      </c>
      <c r="L41" s="306">
        <f>1487027476+H41</f>
        <v>3091843647.1399999</v>
      </c>
      <c r="M41" s="303">
        <f>235836113+D41</f>
        <v>523856905</v>
      </c>
      <c r="N41" s="239">
        <f t="shared" si="36"/>
        <v>2567986742.1399999</v>
      </c>
      <c r="O41" s="309">
        <f t="shared" si="37"/>
        <v>0.83056811249670559</v>
      </c>
      <c r="P41" s="419"/>
      <c r="Q41" s="14"/>
      <c r="R41" s="57"/>
    </row>
    <row r="42" spans="2:18" x14ac:dyDescent="0.2">
      <c r="B42" s="278" t="s">
        <v>57</v>
      </c>
      <c r="C42" s="305">
        <f>5300000*58%/2</f>
        <v>1537000</v>
      </c>
      <c r="D42" s="302">
        <f>'Sources &amp; Application'!B66</f>
        <v>1426212</v>
      </c>
      <c r="E42" s="303">
        <f t="shared" si="31"/>
        <v>110788</v>
      </c>
      <c r="F42" s="304">
        <f t="shared" si="32"/>
        <v>7.2080676642810676E-2</v>
      </c>
      <c r="G42" s="273"/>
      <c r="H42" s="305">
        <f>5300000*58%</f>
        <v>3074000</v>
      </c>
      <c r="I42" s="305">
        <f>D42+216160</f>
        <v>1642372</v>
      </c>
      <c r="J42" s="305">
        <f t="shared" si="34"/>
        <v>1431628</v>
      </c>
      <c r="K42" s="304">
        <f t="shared" si="35"/>
        <v>0.46572153545868578</v>
      </c>
      <c r="L42" s="306">
        <f>3364000+H42</f>
        <v>6438000</v>
      </c>
      <c r="M42" s="303">
        <f>1993212+D42</f>
        <v>3419424</v>
      </c>
      <c r="N42" s="305">
        <f t="shared" si="36"/>
        <v>3018576</v>
      </c>
      <c r="O42" s="308">
        <f t="shared" si="37"/>
        <v>0.46886859273066167</v>
      </c>
      <c r="P42" s="420"/>
      <c r="Q42" s="14"/>
      <c r="R42" s="57"/>
    </row>
    <row r="43" spans="2:18" x14ac:dyDescent="0.2">
      <c r="B43" s="278" t="s">
        <v>66</v>
      </c>
      <c r="C43" s="305">
        <f>77267084*58%/2</f>
        <v>22407454.359999999</v>
      </c>
      <c r="D43" s="284">
        <f>'Sources &amp; Application'!B67</f>
        <v>17345541</v>
      </c>
      <c r="E43" s="47">
        <f t="shared" si="31"/>
        <v>5061913.3599999994</v>
      </c>
      <c r="F43" s="78">
        <f t="shared" si="32"/>
        <v>0.22590309807954462</v>
      </c>
      <c r="G43" s="275"/>
      <c r="H43" s="305">
        <f>77267084*58%</f>
        <v>44814908.719999999</v>
      </c>
      <c r="I43" s="305">
        <f>D43+11403141</f>
        <v>28748682</v>
      </c>
      <c r="J43" s="239">
        <f t="shared" si="34"/>
        <v>16066226.719999999</v>
      </c>
      <c r="K43" s="78">
        <f t="shared" si="35"/>
        <v>0.35850182849597018</v>
      </c>
      <c r="L43" s="306">
        <f>87162400+H43</f>
        <v>131977308.72</v>
      </c>
      <c r="M43" s="303">
        <f>45435752+D43</f>
        <v>62781293</v>
      </c>
      <c r="N43" s="239">
        <f t="shared" si="36"/>
        <v>69196015.719999999</v>
      </c>
      <c r="O43" s="309">
        <f t="shared" si="37"/>
        <v>0.52430236978695077</v>
      </c>
      <c r="P43" s="419"/>
      <c r="Q43" s="14"/>
      <c r="R43" s="57"/>
    </row>
    <row r="44" spans="2:18" x14ac:dyDescent="0.2">
      <c r="B44" s="291" t="s">
        <v>135</v>
      </c>
      <c r="C44" s="283">
        <f>SUM(C38:C43)</f>
        <v>2328146365.9299998</v>
      </c>
      <c r="D44" s="283">
        <f t="shared" ref="D44:E44" si="38">SUM(D38:D43)</f>
        <v>548941063</v>
      </c>
      <c r="E44" s="283">
        <f t="shared" si="38"/>
        <v>1779205302.9299998</v>
      </c>
      <c r="F44" s="90"/>
      <c r="G44" s="275"/>
      <c r="H44" s="283">
        <f>SUM(H38:H43)</f>
        <v>4292633079.8599997</v>
      </c>
      <c r="I44" s="283">
        <f>SUM(I38:I43)</f>
        <v>608177871</v>
      </c>
      <c r="J44" s="283">
        <f>SUM(J38:J43)</f>
        <v>3684455208.8599997</v>
      </c>
      <c r="K44" s="90"/>
      <c r="L44" s="283">
        <f t="shared" ref="L44:N44" si="39">SUM(L38:L43)</f>
        <v>6656097830.8599997</v>
      </c>
      <c r="M44" s="283">
        <f>SUM(M38:M43)</f>
        <v>857780390</v>
      </c>
      <c r="N44" s="283">
        <f t="shared" si="39"/>
        <v>5798317440.8599997</v>
      </c>
      <c r="O44" s="310"/>
      <c r="P44" s="106"/>
      <c r="Q44" s="14"/>
      <c r="R44" s="57"/>
    </row>
    <row r="45" spans="2:18" ht="40.5" x14ac:dyDescent="0.2">
      <c r="B45" s="423" t="s">
        <v>159</v>
      </c>
      <c r="C45" s="280"/>
      <c r="D45" s="274"/>
      <c r="E45" s="274"/>
      <c r="F45" s="90"/>
      <c r="G45" s="275"/>
      <c r="H45" s="90"/>
      <c r="I45" s="90"/>
      <c r="J45" s="90"/>
      <c r="K45" s="90"/>
      <c r="L45" s="274"/>
      <c r="M45" s="276"/>
      <c r="N45" s="276"/>
      <c r="O45" s="310"/>
      <c r="P45" s="106"/>
      <c r="Q45" s="14"/>
      <c r="R45" s="57"/>
    </row>
    <row r="46" spans="2:18" x14ac:dyDescent="0.2">
      <c r="B46" s="278" t="s">
        <v>79</v>
      </c>
      <c r="C46" s="239">
        <v>1200000</v>
      </c>
      <c r="D46" s="284">
        <f>'Sources &amp; Application'!B71</f>
        <v>870000</v>
      </c>
      <c r="E46" s="47">
        <f t="shared" ref="E46:E51" si="40">C46-D46</f>
        <v>330000</v>
      </c>
      <c r="F46" s="78">
        <f t="shared" ref="F46:F48" si="41">E46/C46</f>
        <v>0.27500000000000002</v>
      </c>
      <c r="G46" s="275"/>
      <c r="H46" s="239">
        <v>1200000</v>
      </c>
      <c r="I46" s="239">
        <f t="shared" ref="I46:I51" si="42">D46+0</f>
        <v>870000</v>
      </c>
      <c r="J46" s="239">
        <f t="shared" ref="J46:J51" si="43">H46-I46</f>
        <v>330000</v>
      </c>
      <c r="K46" s="78">
        <f t="shared" ref="K46:K48" si="44">J46/H46</f>
        <v>0.27500000000000002</v>
      </c>
      <c r="L46" s="306">
        <f>H46+0</f>
        <v>1200000</v>
      </c>
      <c r="M46" s="47">
        <f t="shared" ref="M46:M51" si="45">0+D46</f>
        <v>870000</v>
      </c>
      <c r="N46" s="239">
        <f t="shared" ref="N46" si="46">L46-M46</f>
        <v>330000</v>
      </c>
      <c r="O46" s="308">
        <f>N46/L46</f>
        <v>0.27500000000000002</v>
      </c>
      <c r="P46" s="106"/>
      <c r="Q46" s="14"/>
      <c r="R46" s="57"/>
    </row>
    <row r="47" spans="2:18" x14ac:dyDescent="0.2">
      <c r="B47" s="278" t="s">
        <v>80</v>
      </c>
      <c r="C47" s="239">
        <v>0</v>
      </c>
      <c r="D47" s="284">
        <f>'Sources &amp; Application'!B72</f>
        <v>0</v>
      </c>
      <c r="E47" s="47">
        <f t="shared" si="40"/>
        <v>0</v>
      </c>
      <c r="F47" s="78"/>
      <c r="G47" s="275"/>
      <c r="H47" s="239">
        <v>0</v>
      </c>
      <c r="I47" s="239">
        <f t="shared" si="42"/>
        <v>0</v>
      </c>
      <c r="J47" s="239">
        <f t="shared" si="43"/>
        <v>0</v>
      </c>
      <c r="K47" s="90"/>
      <c r="L47" s="306">
        <f>H47+0</f>
        <v>0</v>
      </c>
      <c r="M47" s="47">
        <f t="shared" si="45"/>
        <v>0</v>
      </c>
      <c r="N47" s="239">
        <f t="shared" ref="N47:N51" si="47">L47-M47</f>
        <v>0</v>
      </c>
      <c r="O47" s="310"/>
      <c r="P47" s="106"/>
      <c r="Q47" s="14"/>
      <c r="R47" s="57"/>
    </row>
    <row r="48" spans="2:18" x14ac:dyDescent="0.2">
      <c r="B48" s="278" t="s">
        <v>38</v>
      </c>
      <c r="C48" s="239">
        <f>99000000*58%/2-1200000</f>
        <v>27509999.999999996</v>
      </c>
      <c r="D48" s="284">
        <f>'Sources &amp; Application'!B73</f>
        <v>0</v>
      </c>
      <c r="E48" s="47">
        <f t="shared" si="40"/>
        <v>27509999.999999996</v>
      </c>
      <c r="F48" s="78">
        <f t="shared" si="41"/>
        <v>1</v>
      </c>
      <c r="G48" s="275"/>
      <c r="H48" s="239">
        <f>99000000*58%-1200000</f>
        <v>56219999.999999993</v>
      </c>
      <c r="I48" s="239">
        <f t="shared" si="42"/>
        <v>0</v>
      </c>
      <c r="J48" s="239">
        <f t="shared" si="43"/>
        <v>56219999.999999993</v>
      </c>
      <c r="K48" s="78">
        <f t="shared" si="44"/>
        <v>1</v>
      </c>
      <c r="L48" s="306">
        <f>93699000+H48</f>
        <v>149919000</v>
      </c>
      <c r="M48" s="47">
        <f t="shared" si="45"/>
        <v>0</v>
      </c>
      <c r="N48" s="239">
        <f t="shared" si="47"/>
        <v>149919000</v>
      </c>
      <c r="O48" s="308">
        <f>N48/L48</f>
        <v>1</v>
      </c>
      <c r="P48" s="420"/>
      <c r="Q48" s="14"/>
      <c r="R48" s="57"/>
    </row>
    <row r="49" spans="2:18" x14ac:dyDescent="0.2">
      <c r="B49" s="278" t="s">
        <v>39</v>
      </c>
      <c r="C49" s="239">
        <v>0</v>
      </c>
      <c r="D49" s="284">
        <f>'Sources &amp; Application'!B74</f>
        <v>0</v>
      </c>
      <c r="E49" s="47">
        <f t="shared" si="40"/>
        <v>0</v>
      </c>
      <c r="F49" s="78"/>
      <c r="G49" s="275"/>
      <c r="H49" s="239">
        <v>0</v>
      </c>
      <c r="I49" s="239">
        <f t="shared" si="42"/>
        <v>0</v>
      </c>
      <c r="J49" s="239">
        <f t="shared" si="43"/>
        <v>0</v>
      </c>
      <c r="K49" s="90"/>
      <c r="L49" s="306">
        <f>H49+0</f>
        <v>0</v>
      </c>
      <c r="M49" s="47">
        <f t="shared" si="45"/>
        <v>0</v>
      </c>
      <c r="N49" s="239">
        <f t="shared" si="47"/>
        <v>0</v>
      </c>
      <c r="O49" s="310"/>
      <c r="P49" s="106"/>
      <c r="Q49" s="14"/>
      <c r="R49" s="57"/>
    </row>
    <row r="50" spans="2:18" x14ac:dyDescent="0.2">
      <c r="B50" s="278" t="s">
        <v>57</v>
      </c>
      <c r="C50" s="239">
        <v>0</v>
      </c>
      <c r="D50" s="284">
        <f>'Sources &amp; Application'!B75</f>
        <v>0</v>
      </c>
      <c r="E50" s="47">
        <f t="shared" si="40"/>
        <v>0</v>
      </c>
      <c r="F50" s="78"/>
      <c r="G50" s="275"/>
      <c r="H50" s="239">
        <v>0</v>
      </c>
      <c r="I50" s="239">
        <f t="shared" si="42"/>
        <v>0</v>
      </c>
      <c r="J50" s="239">
        <f t="shared" ref="J50" si="48">H50-I50</f>
        <v>0</v>
      </c>
      <c r="K50" s="78"/>
      <c r="L50" s="306">
        <f>H50+0</f>
        <v>0</v>
      </c>
      <c r="M50" s="47">
        <f t="shared" si="45"/>
        <v>0</v>
      </c>
      <c r="N50" s="239">
        <f t="shared" si="47"/>
        <v>0</v>
      </c>
      <c r="O50" s="309"/>
      <c r="P50" s="419"/>
      <c r="Q50" s="14"/>
      <c r="R50" s="57"/>
    </row>
    <row r="51" spans="2:18" x14ac:dyDescent="0.2">
      <c r="B51" s="278" t="s">
        <v>66</v>
      </c>
      <c r="C51" s="239">
        <v>0</v>
      </c>
      <c r="D51" s="284">
        <f>'Sources &amp; Application'!B76</f>
        <v>0</v>
      </c>
      <c r="E51" s="47">
        <f t="shared" si="40"/>
        <v>0</v>
      </c>
      <c r="F51" s="78"/>
      <c r="G51" s="275"/>
      <c r="H51" s="239">
        <v>0</v>
      </c>
      <c r="I51" s="239">
        <f t="shared" si="42"/>
        <v>0</v>
      </c>
      <c r="J51" s="239">
        <f t="shared" si="43"/>
        <v>0</v>
      </c>
      <c r="K51" s="90"/>
      <c r="L51" s="306">
        <f>H51+0</f>
        <v>0</v>
      </c>
      <c r="M51" s="47">
        <f t="shared" si="45"/>
        <v>0</v>
      </c>
      <c r="N51" s="239">
        <f t="shared" si="47"/>
        <v>0</v>
      </c>
      <c r="O51" s="310"/>
      <c r="P51" s="106"/>
      <c r="Q51" s="14"/>
      <c r="R51" s="57"/>
    </row>
    <row r="52" spans="2:18" x14ac:dyDescent="0.2">
      <c r="B52" s="291" t="s">
        <v>136</v>
      </c>
      <c r="C52" s="283">
        <f>SUM(C46:C51)</f>
        <v>28709999.999999996</v>
      </c>
      <c r="D52" s="283">
        <f t="shared" ref="D52:E52" si="49">SUM(D46:D51)</f>
        <v>870000</v>
      </c>
      <c r="E52" s="283">
        <f t="shared" si="49"/>
        <v>27839999.999999996</v>
      </c>
      <c r="F52" s="78"/>
      <c r="G52" s="275"/>
      <c r="H52" s="283">
        <f>SUM(H46:H51)</f>
        <v>57419999.999999993</v>
      </c>
      <c r="I52" s="283">
        <f t="shared" ref="I52:J52" si="50">SUM(I46:I51)</f>
        <v>870000</v>
      </c>
      <c r="J52" s="283">
        <f t="shared" si="50"/>
        <v>56549999.999999993</v>
      </c>
      <c r="K52" s="90"/>
      <c r="L52" s="283">
        <f>SUM(L46:L51)</f>
        <v>151119000</v>
      </c>
      <c r="M52" s="283">
        <f t="shared" ref="M52:N52" si="51">SUM(M46:M51)</f>
        <v>870000</v>
      </c>
      <c r="N52" s="283">
        <f t="shared" si="51"/>
        <v>150249000</v>
      </c>
      <c r="O52" s="310"/>
      <c r="P52" s="106"/>
      <c r="Q52" s="14"/>
      <c r="R52" s="57"/>
    </row>
    <row r="53" spans="2:18" ht="27" hidden="1" x14ac:dyDescent="0.2">
      <c r="B53" s="423" t="s">
        <v>154</v>
      </c>
      <c r="C53" s="283"/>
      <c r="D53" s="283"/>
      <c r="E53" s="283"/>
      <c r="F53" s="78"/>
      <c r="G53" s="275"/>
      <c r="H53" s="283"/>
      <c r="I53" s="283"/>
      <c r="J53" s="283"/>
      <c r="K53" s="90"/>
      <c r="L53" s="283"/>
      <c r="M53" s="283"/>
      <c r="N53" s="283"/>
      <c r="O53" s="310"/>
      <c r="P53" s="106"/>
      <c r="Q53" s="14"/>
      <c r="R53" s="57"/>
    </row>
    <row r="54" spans="2:18" hidden="1" x14ac:dyDescent="0.2">
      <c r="B54" s="278" t="s">
        <v>79</v>
      </c>
      <c r="C54" s="281">
        <f>570000000*0%</f>
        <v>0</v>
      </c>
      <c r="D54" s="284">
        <f>'Sources &amp; Application'!B80</f>
        <v>0</v>
      </c>
      <c r="E54" s="283"/>
      <c r="F54" s="78"/>
      <c r="G54" s="275"/>
      <c r="H54" s="281">
        <f>570000000*0%</f>
        <v>0</v>
      </c>
      <c r="I54" s="11">
        <f>D54</f>
        <v>0</v>
      </c>
      <c r="J54" s="239">
        <f t="shared" ref="J54:J59" si="52">H54-I54</f>
        <v>0</v>
      </c>
      <c r="K54" s="78"/>
      <c r="L54" s="306">
        <f t="shared" ref="L54:L59" si="53">H54+0</f>
        <v>0</v>
      </c>
      <c r="M54" s="287">
        <f t="shared" ref="M54:M59" si="54">I54+0</f>
        <v>0</v>
      </c>
      <c r="N54" s="303">
        <f>L54-M54</f>
        <v>0</v>
      </c>
      <c r="O54" s="308"/>
      <c r="P54" s="420"/>
      <c r="Q54" s="14"/>
      <c r="R54" s="57"/>
    </row>
    <row r="55" spans="2:18" hidden="1" x14ac:dyDescent="0.2">
      <c r="B55" s="278" t="s">
        <v>80</v>
      </c>
      <c r="C55" s="281">
        <f>400000000*0%</f>
        <v>0</v>
      </c>
      <c r="D55" s="284">
        <f>'Sources &amp; Application'!B81</f>
        <v>0</v>
      </c>
      <c r="E55" s="283"/>
      <c r="F55" s="78"/>
      <c r="G55" s="275"/>
      <c r="H55" s="281">
        <f>400000000*0%</f>
        <v>0</v>
      </c>
      <c r="I55" s="11">
        <f t="shared" ref="I55:I59" si="55">D55</f>
        <v>0</v>
      </c>
      <c r="J55" s="239">
        <f t="shared" si="52"/>
        <v>0</v>
      </c>
      <c r="K55" s="78"/>
      <c r="L55" s="306">
        <f t="shared" si="53"/>
        <v>0</v>
      </c>
      <c r="M55" s="287">
        <f t="shared" si="54"/>
        <v>0</v>
      </c>
      <c r="N55" s="47">
        <f t="shared" ref="N55:N59" si="56">L55-M55</f>
        <v>0</v>
      </c>
      <c r="O55" s="308"/>
      <c r="P55" s="420"/>
      <c r="Q55" s="14"/>
      <c r="R55" s="57"/>
    </row>
    <row r="56" spans="2:18" hidden="1" x14ac:dyDescent="0.2">
      <c r="B56" s="278" t="s">
        <v>38</v>
      </c>
      <c r="C56" s="281">
        <v>0</v>
      </c>
      <c r="D56" s="284">
        <f>'Sources &amp; Application'!B82</f>
        <v>0</v>
      </c>
      <c r="E56" s="283"/>
      <c r="F56" s="78"/>
      <c r="G56" s="275"/>
      <c r="H56" s="281">
        <v>0</v>
      </c>
      <c r="I56" s="11">
        <f t="shared" si="55"/>
        <v>0</v>
      </c>
      <c r="J56" s="239">
        <f t="shared" si="52"/>
        <v>0</v>
      </c>
      <c r="K56" s="90"/>
      <c r="L56" s="306">
        <f t="shared" si="53"/>
        <v>0</v>
      </c>
      <c r="M56" s="287">
        <f t="shared" si="54"/>
        <v>0</v>
      </c>
      <c r="N56" s="47">
        <f t="shared" si="56"/>
        <v>0</v>
      </c>
      <c r="O56" s="310"/>
      <c r="P56" s="106"/>
      <c r="Q56" s="14"/>
      <c r="R56" s="57"/>
    </row>
    <row r="57" spans="2:18" hidden="1" x14ac:dyDescent="0.2">
      <c r="B57" s="278" t="s">
        <v>39</v>
      </c>
      <c r="C57" s="282">
        <f>7695000*0%</f>
        <v>0</v>
      </c>
      <c r="D57" s="284">
        <f>'Sources &amp; Application'!B83</f>
        <v>0</v>
      </c>
      <c r="E57" s="283"/>
      <c r="F57" s="78"/>
      <c r="G57" s="275"/>
      <c r="H57" s="282">
        <f>7695000*0%</f>
        <v>0</v>
      </c>
      <c r="I57" s="11">
        <f t="shared" si="55"/>
        <v>0</v>
      </c>
      <c r="J57" s="239">
        <f t="shared" si="52"/>
        <v>0</v>
      </c>
      <c r="K57" s="90"/>
      <c r="L57" s="306">
        <f t="shared" si="53"/>
        <v>0</v>
      </c>
      <c r="M57" s="287">
        <f t="shared" si="54"/>
        <v>0</v>
      </c>
      <c r="N57" s="47">
        <f t="shared" si="56"/>
        <v>0</v>
      </c>
      <c r="O57" s="310"/>
      <c r="P57" s="106"/>
      <c r="Q57" s="14"/>
      <c r="R57" s="57"/>
    </row>
    <row r="58" spans="2:18" hidden="1" x14ac:dyDescent="0.2">
      <c r="B58" s="278" t="s">
        <v>57</v>
      </c>
      <c r="C58" s="282">
        <v>0</v>
      </c>
      <c r="D58" s="284">
        <f>'Sources &amp; Application'!B84</f>
        <v>0</v>
      </c>
      <c r="E58" s="283"/>
      <c r="F58" s="78"/>
      <c r="G58" s="275"/>
      <c r="H58" s="282">
        <v>0</v>
      </c>
      <c r="I58" s="11">
        <f t="shared" si="55"/>
        <v>0</v>
      </c>
      <c r="J58" s="239">
        <f t="shared" si="52"/>
        <v>0</v>
      </c>
      <c r="K58" s="90"/>
      <c r="L58" s="306">
        <f t="shared" si="53"/>
        <v>0</v>
      </c>
      <c r="M58" s="287">
        <f t="shared" si="54"/>
        <v>0</v>
      </c>
      <c r="N58" s="303">
        <f t="shared" si="56"/>
        <v>0</v>
      </c>
      <c r="O58" s="310"/>
      <c r="P58" s="106"/>
      <c r="Q58" s="14"/>
      <c r="R58" s="57"/>
    </row>
    <row r="59" spans="2:18" hidden="1" x14ac:dyDescent="0.2">
      <c r="B59" s="278" t="s">
        <v>66</v>
      </c>
      <c r="C59" s="282">
        <v>0</v>
      </c>
      <c r="D59" s="284">
        <f>'Sources &amp; Application'!B85</f>
        <v>0</v>
      </c>
      <c r="E59" s="283"/>
      <c r="F59" s="78"/>
      <c r="G59" s="275"/>
      <c r="H59" s="282">
        <v>0</v>
      </c>
      <c r="I59" s="11">
        <f t="shared" si="55"/>
        <v>0</v>
      </c>
      <c r="J59" s="239">
        <f t="shared" si="52"/>
        <v>0</v>
      </c>
      <c r="K59" s="78"/>
      <c r="L59" s="306">
        <f t="shared" si="53"/>
        <v>0</v>
      </c>
      <c r="M59" s="287">
        <f t="shared" si="54"/>
        <v>0</v>
      </c>
      <c r="N59" s="47">
        <f t="shared" si="56"/>
        <v>0</v>
      </c>
      <c r="O59" s="308"/>
      <c r="P59" s="420"/>
      <c r="Q59" s="14"/>
      <c r="R59" s="57"/>
    </row>
    <row r="60" spans="2:18" hidden="1" x14ac:dyDescent="0.2">
      <c r="B60" s="290" t="s">
        <v>151</v>
      </c>
      <c r="C60" s="283">
        <f>SUM(C54:C59)</f>
        <v>0</v>
      </c>
      <c r="D60" s="283">
        <f t="shared" ref="D60:E60" si="57">SUM(D54:D59)</f>
        <v>0</v>
      </c>
      <c r="E60" s="283">
        <f t="shared" si="57"/>
        <v>0</v>
      </c>
      <c r="F60" s="78"/>
      <c r="G60" s="273"/>
      <c r="H60" s="283">
        <f t="shared" ref="H60:J60" si="58">SUM(H54:H59)</f>
        <v>0</v>
      </c>
      <c r="I60" s="283">
        <f t="shared" si="58"/>
        <v>0</v>
      </c>
      <c r="J60" s="283">
        <f t="shared" si="58"/>
        <v>0</v>
      </c>
      <c r="K60" s="78"/>
      <c r="L60" s="283">
        <f t="shared" ref="L60:N60" si="59">SUM(L54:L59)</f>
        <v>0</v>
      </c>
      <c r="M60" s="283">
        <f t="shared" si="59"/>
        <v>0</v>
      </c>
      <c r="N60" s="283">
        <f t="shared" si="59"/>
        <v>0</v>
      </c>
      <c r="O60" s="311"/>
      <c r="P60" s="46"/>
      <c r="Q60" s="14"/>
      <c r="R60" s="57"/>
    </row>
    <row r="61" spans="2:18" ht="13.5" thickBot="1" x14ac:dyDescent="0.25">
      <c r="B61" s="289" t="s">
        <v>150</v>
      </c>
      <c r="C61" s="285">
        <f>C52+C44+C60</f>
        <v>2356856365.9299998</v>
      </c>
      <c r="D61" s="285">
        <f t="shared" ref="D61:E61" si="60">D52+D44+D60</f>
        <v>549811063</v>
      </c>
      <c r="E61" s="285">
        <f t="shared" si="60"/>
        <v>1807045302.9299998</v>
      </c>
      <c r="F61" s="91"/>
      <c r="G61" s="279"/>
      <c r="H61" s="285">
        <f t="shared" ref="H61:J61" si="61">H52+H44+H60</f>
        <v>4350053079.8599997</v>
      </c>
      <c r="I61" s="285">
        <f t="shared" si="61"/>
        <v>609047871</v>
      </c>
      <c r="J61" s="285">
        <f t="shared" si="61"/>
        <v>3741005208.8599997</v>
      </c>
      <c r="K61" s="91"/>
      <c r="L61" s="285">
        <f t="shared" ref="L61:N61" si="62">L52+L44+L60</f>
        <v>6807216830.8599997</v>
      </c>
      <c r="M61" s="285">
        <f>M52+M44+M60</f>
        <v>858650390</v>
      </c>
      <c r="N61" s="285">
        <f t="shared" si="62"/>
        <v>5948566440.8599997</v>
      </c>
      <c r="O61" s="312"/>
      <c r="P61" s="106"/>
      <c r="Q61" s="14"/>
      <c r="R61" s="57"/>
    </row>
    <row r="62" spans="2:18" ht="13.5" thickBot="1" x14ac:dyDescent="0.25">
      <c r="B62" s="288" t="s">
        <v>130</v>
      </c>
      <c r="C62" s="286">
        <f>C61+C35</f>
        <v>4552392958.5</v>
      </c>
      <c r="D62" s="286">
        <f>D61+D35</f>
        <v>948215299</v>
      </c>
      <c r="E62" s="286">
        <f>E61+E35</f>
        <v>3604177659.5</v>
      </c>
      <c r="F62" s="271"/>
      <c r="G62" s="271"/>
      <c r="H62" s="286">
        <f>H61+H35</f>
        <v>8477786517</v>
      </c>
      <c r="I62" s="286">
        <f>I61+I35</f>
        <v>1050138166</v>
      </c>
      <c r="J62" s="286">
        <f>J61+J35</f>
        <v>7427648351</v>
      </c>
      <c r="K62" s="271"/>
      <c r="L62" s="286">
        <f>L61+L35</f>
        <v>14727195743</v>
      </c>
      <c r="M62" s="286">
        <f>M61+M35</f>
        <v>1484716481</v>
      </c>
      <c r="N62" s="286">
        <f>N61+N35</f>
        <v>13242479262</v>
      </c>
      <c r="O62" s="272"/>
      <c r="P62" s="106"/>
      <c r="Q62" s="14"/>
      <c r="R62" s="57"/>
    </row>
    <row r="63" spans="2:18" x14ac:dyDescent="0.2">
      <c r="B63" s="105"/>
      <c r="C63" s="368"/>
      <c r="D63" s="106"/>
      <c r="E63" s="106"/>
      <c r="F63" s="107"/>
      <c r="G63" s="107"/>
      <c r="H63" s="107"/>
      <c r="I63" s="313"/>
      <c r="J63" s="107"/>
      <c r="K63" s="323"/>
      <c r="L63" s="46"/>
      <c r="M63" s="46"/>
      <c r="N63" s="106"/>
      <c r="O63" s="106"/>
      <c r="P63" s="106"/>
      <c r="Q63" s="14"/>
      <c r="R63" s="57"/>
    </row>
    <row r="64" spans="2:18" x14ac:dyDescent="0.2">
      <c r="B64" s="105"/>
      <c r="C64" s="368"/>
      <c r="D64" s="106"/>
      <c r="E64" s="106"/>
      <c r="F64" s="107"/>
      <c r="G64" s="107"/>
      <c r="H64" s="107"/>
      <c r="I64" s="107"/>
      <c r="J64" s="107"/>
      <c r="K64" s="323"/>
      <c r="L64" s="46"/>
      <c r="M64" s="46"/>
      <c r="N64" s="106"/>
      <c r="O64" s="106"/>
      <c r="P64" s="106"/>
      <c r="Q64" s="14"/>
      <c r="R64" s="57"/>
    </row>
    <row r="65" spans="2:18" x14ac:dyDescent="0.2">
      <c r="B65" s="105"/>
      <c r="C65" s="106"/>
      <c r="D65" s="106"/>
      <c r="E65" s="106"/>
      <c r="F65" s="107"/>
      <c r="G65" s="107"/>
      <c r="H65" s="107"/>
      <c r="I65" s="107"/>
      <c r="J65" s="107"/>
      <c r="K65" s="107"/>
      <c r="L65" s="106"/>
      <c r="M65" s="106"/>
      <c r="N65" s="106"/>
      <c r="O65" s="106"/>
      <c r="P65" s="106"/>
      <c r="Q65" s="14"/>
      <c r="R65" s="57"/>
    </row>
    <row r="66" spans="2:18" x14ac:dyDescent="0.2">
      <c r="B66" s="105"/>
      <c r="C66" s="106"/>
      <c r="D66" s="106"/>
      <c r="E66" s="106"/>
      <c r="F66" s="107"/>
      <c r="G66" s="107"/>
      <c r="H66" s="107"/>
      <c r="I66" s="107"/>
      <c r="J66" s="107"/>
      <c r="K66" s="107"/>
      <c r="L66" s="106"/>
      <c r="M66" s="106"/>
      <c r="N66" s="106"/>
      <c r="O66" s="106"/>
      <c r="P66" s="106"/>
      <c r="Q66" s="14"/>
      <c r="R66" s="57"/>
    </row>
    <row r="67" spans="2:18" x14ac:dyDescent="0.2">
      <c r="B67" s="105"/>
      <c r="C67" s="106"/>
      <c r="D67" s="106"/>
      <c r="E67" s="106"/>
      <c r="F67" s="107"/>
      <c r="G67" s="107"/>
      <c r="H67" s="107"/>
      <c r="I67" s="107"/>
      <c r="J67" s="107"/>
      <c r="K67" s="107"/>
      <c r="L67" s="106"/>
      <c r="M67" s="106"/>
      <c r="N67" s="106"/>
      <c r="O67" s="106"/>
      <c r="P67" s="106"/>
      <c r="Q67" s="14"/>
      <c r="R67" s="57"/>
    </row>
    <row r="68" spans="2:18" x14ac:dyDescent="0.2">
      <c r="B68" s="105"/>
      <c r="C68" s="106"/>
      <c r="D68" s="106"/>
      <c r="E68" s="106"/>
      <c r="F68" s="107"/>
      <c r="G68" s="107"/>
      <c r="H68" s="107"/>
      <c r="I68" s="107"/>
      <c r="J68" s="107"/>
      <c r="K68" s="107"/>
      <c r="L68" s="106"/>
      <c r="M68" s="106"/>
      <c r="N68" s="106"/>
      <c r="O68" s="106"/>
      <c r="P68" s="106"/>
      <c r="Q68" s="14"/>
      <c r="R68" s="57"/>
    </row>
    <row r="69" spans="2:18" x14ac:dyDescent="0.2">
      <c r="B69" s="105"/>
      <c r="C69" s="106"/>
      <c r="D69" s="106"/>
      <c r="E69" s="106"/>
      <c r="F69" s="107"/>
      <c r="G69" s="107"/>
      <c r="H69" s="107"/>
      <c r="I69" s="107"/>
      <c r="J69" s="107"/>
      <c r="K69" s="107"/>
      <c r="L69" s="106"/>
      <c r="M69" s="106"/>
      <c r="N69" s="106"/>
      <c r="O69" s="106"/>
      <c r="P69" s="106"/>
      <c r="Q69" s="14"/>
      <c r="R69" s="57"/>
    </row>
    <row r="70" spans="2:18" x14ac:dyDescent="0.2">
      <c r="B70" s="105"/>
      <c r="C70" s="106"/>
      <c r="D70" s="106"/>
      <c r="E70" s="106"/>
      <c r="F70" s="107"/>
      <c r="G70" s="107"/>
      <c r="H70" s="107"/>
      <c r="I70" s="107"/>
      <c r="J70" s="107"/>
      <c r="K70" s="107"/>
      <c r="L70" s="106"/>
      <c r="M70" s="106"/>
      <c r="N70" s="106"/>
      <c r="O70" s="106"/>
      <c r="P70" s="106"/>
      <c r="Q70" s="14"/>
      <c r="R70" s="57"/>
    </row>
    <row r="71" spans="2:18" x14ac:dyDescent="0.2">
      <c r="B71" s="105"/>
      <c r="C71" s="106"/>
      <c r="D71" s="106"/>
      <c r="E71" s="106"/>
      <c r="F71" s="107"/>
      <c r="G71" s="107"/>
      <c r="H71" s="107"/>
      <c r="I71" s="107"/>
      <c r="J71" s="107"/>
      <c r="K71" s="107"/>
      <c r="L71" s="106"/>
      <c r="M71" s="106"/>
      <c r="N71" s="106"/>
      <c r="O71" s="106"/>
      <c r="P71" s="106"/>
      <c r="Q71" s="14"/>
      <c r="R71" s="57"/>
    </row>
    <row r="72" spans="2:18" x14ac:dyDescent="0.2">
      <c r="B72" s="105"/>
      <c r="C72" s="106"/>
      <c r="D72" s="106"/>
      <c r="E72" s="106"/>
      <c r="F72" s="107"/>
      <c r="G72" s="107"/>
      <c r="H72" s="107"/>
      <c r="I72" s="107"/>
      <c r="J72" s="107"/>
      <c r="K72" s="107"/>
      <c r="L72" s="106"/>
      <c r="M72" s="106"/>
      <c r="N72" s="106"/>
      <c r="O72" s="106"/>
      <c r="P72" s="106"/>
      <c r="Q72" s="14"/>
      <c r="R72" s="57"/>
    </row>
    <row r="73" spans="2:18" x14ac:dyDescent="0.2">
      <c r="B73" s="105"/>
      <c r="C73" s="106"/>
      <c r="D73" s="106"/>
      <c r="E73" s="106"/>
      <c r="F73" s="107"/>
      <c r="G73" s="107"/>
      <c r="H73" s="107"/>
      <c r="I73" s="107"/>
      <c r="J73" s="107"/>
      <c r="K73" s="107"/>
      <c r="L73" s="106"/>
      <c r="M73" s="106"/>
      <c r="N73" s="106"/>
      <c r="O73" s="106"/>
      <c r="P73" s="106"/>
      <c r="Q73" s="14"/>
      <c r="R73" s="57"/>
    </row>
    <row r="74" spans="2:18" x14ac:dyDescent="0.2">
      <c r="B74" s="105"/>
      <c r="C74" s="106"/>
      <c r="D74" s="106"/>
      <c r="E74" s="106"/>
      <c r="F74" s="107"/>
      <c r="G74" s="107"/>
      <c r="H74" s="107"/>
      <c r="I74" s="107"/>
      <c r="J74" s="107"/>
      <c r="K74" s="107"/>
      <c r="L74" s="106"/>
      <c r="M74" s="106"/>
      <c r="N74" s="106"/>
      <c r="O74" s="106"/>
      <c r="P74" s="106"/>
      <c r="Q74" s="14"/>
      <c r="R74" s="57"/>
    </row>
    <row r="75" spans="2:18" x14ac:dyDescent="0.2">
      <c r="B75" s="105"/>
      <c r="C75" s="106"/>
      <c r="D75" s="106"/>
      <c r="E75" s="106"/>
      <c r="F75" s="107"/>
      <c r="G75" s="107"/>
      <c r="H75" s="107"/>
      <c r="I75" s="107"/>
      <c r="J75" s="107"/>
      <c r="K75" s="107"/>
      <c r="L75" s="106"/>
      <c r="M75" s="106"/>
      <c r="N75" s="106"/>
      <c r="O75" s="106"/>
      <c r="P75" s="106"/>
      <c r="Q75" s="14"/>
      <c r="R75" s="57"/>
    </row>
    <row r="76" spans="2:18" x14ac:dyDescent="0.2">
      <c r="B76" s="105"/>
      <c r="C76" s="106"/>
      <c r="D76" s="106"/>
      <c r="E76" s="106"/>
      <c r="F76" s="107"/>
      <c r="G76" s="107"/>
      <c r="H76" s="107"/>
      <c r="I76" s="107"/>
      <c r="J76" s="107"/>
      <c r="K76" s="107"/>
      <c r="L76" s="106"/>
      <c r="M76" s="106"/>
      <c r="N76" s="106"/>
      <c r="O76" s="106"/>
      <c r="P76" s="106"/>
      <c r="Q76" s="14"/>
      <c r="R76" s="57"/>
    </row>
    <row r="77" spans="2:18" x14ac:dyDescent="0.2">
      <c r="B77" s="105"/>
      <c r="C77" s="106"/>
      <c r="D77" s="106"/>
      <c r="E77" s="106"/>
      <c r="F77" s="107"/>
      <c r="G77" s="107"/>
      <c r="H77" s="107"/>
      <c r="I77" s="107"/>
      <c r="J77" s="107"/>
      <c r="K77" s="107"/>
      <c r="L77" s="106"/>
      <c r="M77" s="106"/>
      <c r="N77" s="106"/>
      <c r="O77" s="106"/>
      <c r="P77" s="106"/>
      <c r="Q77" s="14"/>
      <c r="R77" s="57"/>
    </row>
    <row r="78" spans="2:18" x14ac:dyDescent="0.2">
      <c r="B78" s="105"/>
      <c r="C78" s="106"/>
      <c r="D78" s="106"/>
      <c r="E78" s="106"/>
      <c r="F78" s="107"/>
      <c r="G78" s="107"/>
      <c r="H78" s="107"/>
      <c r="I78" s="107"/>
      <c r="J78" s="107"/>
      <c r="K78" s="107"/>
      <c r="L78" s="106"/>
      <c r="M78" s="106"/>
      <c r="N78" s="106"/>
      <c r="O78" s="106"/>
      <c r="P78" s="106"/>
      <c r="Q78" s="14"/>
      <c r="R78" s="57"/>
    </row>
    <row r="79" spans="2:18" x14ac:dyDescent="0.2">
      <c r="B79" s="105"/>
      <c r="C79" s="106"/>
      <c r="D79" s="106"/>
      <c r="E79" s="106"/>
      <c r="F79" s="107"/>
      <c r="G79" s="107"/>
      <c r="H79" s="107"/>
      <c r="I79" s="107"/>
      <c r="J79" s="107"/>
      <c r="K79" s="107"/>
      <c r="L79" s="106"/>
      <c r="M79" s="106"/>
      <c r="N79" s="106"/>
      <c r="O79" s="106"/>
      <c r="P79" s="106"/>
      <c r="Q79" s="14"/>
      <c r="R79" s="57"/>
    </row>
    <row r="80" spans="2:18" x14ac:dyDescent="0.2">
      <c r="B80" s="105"/>
      <c r="C80" s="106"/>
      <c r="D80" s="106"/>
      <c r="E80" s="106"/>
      <c r="F80" s="107"/>
      <c r="G80" s="107"/>
      <c r="H80" s="107"/>
      <c r="I80" s="107"/>
      <c r="J80" s="107"/>
      <c r="K80" s="107"/>
      <c r="L80" s="106"/>
      <c r="M80" s="106"/>
      <c r="N80" s="106"/>
      <c r="O80" s="106"/>
      <c r="P80" s="106"/>
      <c r="Q80" s="14"/>
      <c r="R80" s="57"/>
    </row>
    <row r="81" spans="2:18" x14ac:dyDescent="0.2">
      <c r="B81" s="105"/>
      <c r="C81" s="106"/>
      <c r="D81" s="106"/>
      <c r="E81" s="106"/>
      <c r="F81" s="107"/>
      <c r="G81" s="107"/>
      <c r="H81" s="107"/>
      <c r="I81" s="107"/>
      <c r="J81" s="107"/>
      <c r="K81" s="107"/>
      <c r="L81" s="106"/>
      <c r="M81" s="106"/>
      <c r="N81" s="106"/>
      <c r="O81" s="106"/>
      <c r="P81" s="106"/>
      <c r="Q81" s="14"/>
      <c r="R81" s="57"/>
    </row>
    <row r="82" spans="2:18" x14ac:dyDescent="0.2">
      <c r="B82" s="105"/>
      <c r="C82" s="106"/>
      <c r="D82" s="106"/>
      <c r="E82" s="106"/>
      <c r="F82" s="107"/>
      <c r="G82" s="107"/>
      <c r="H82" s="107"/>
      <c r="I82" s="107"/>
      <c r="J82" s="107"/>
      <c r="K82" s="107"/>
      <c r="L82" s="106"/>
      <c r="M82" s="106"/>
      <c r="N82" s="106"/>
      <c r="O82" s="106"/>
      <c r="P82" s="106"/>
      <c r="Q82" s="14"/>
      <c r="R82" s="57"/>
    </row>
    <row r="84" spans="2:18" x14ac:dyDescent="0.2">
      <c r="B84" s="4" t="s">
        <v>45</v>
      </c>
    </row>
  </sheetData>
  <mergeCells count="20">
    <mergeCell ref="C6:F6"/>
    <mergeCell ref="B1:O1"/>
    <mergeCell ref="B2:O2"/>
    <mergeCell ref="B3:O3"/>
    <mergeCell ref="B4:O4"/>
    <mergeCell ref="B5:O5"/>
    <mergeCell ref="N8:O8"/>
    <mergeCell ref="B7:B9"/>
    <mergeCell ref="L7:O7"/>
    <mergeCell ref="C8:C9"/>
    <mergeCell ref="D8:D9"/>
    <mergeCell ref="E8:F8"/>
    <mergeCell ref="L8:L9"/>
    <mergeCell ref="M8:M9"/>
    <mergeCell ref="H8:H9"/>
    <mergeCell ref="I8:I9"/>
    <mergeCell ref="J8:K8"/>
    <mergeCell ref="C7:G7"/>
    <mergeCell ref="G8:G9"/>
    <mergeCell ref="H7:K7"/>
  </mergeCells>
  <printOptions horizontalCentered="1"/>
  <pageMargins left="0.2" right="0.2" top="0.75" bottom="0.75" header="0.3" footer="0.3"/>
  <pageSetup scale="58" orientation="landscape" r:id="rId1"/>
  <ignoredErrors>
    <ignoredError sqref="I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R44"/>
  <sheetViews>
    <sheetView tabSelected="1" view="pageBreakPreview" zoomScale="85" zoomScaleSheetLayoutView="85" workbookViewId="0">
      <pane xSplit="3" ySplit="10" topLeftCell="J11" activePane="bottomRight" state="frozen"/>
      <selection pane="topRight" activeCell="D1" sqref="D1"/>
      <selection pane="bottomLeft" activeCell="A12" sqref="A12"/>
      <selection pane="bottomRight" activeCell="L17" sqref="L17"/>
    </sheetView>
  </sheetViews>
  <sheetFormatPr defaultRowHeight="12.75" x14ac:dyDescent="0.2"/>
  <cols>
    <col min="1" max="1" width="2.85546875" customWidth="1"/>
    <col min="2" max="2" width="68.85546875" customWidth="1"/>
    <col min="3" max="5" width="13.5703125" hidden="1" customWidth="1"/>
    <col min="6" max="6" width="1.42578125" hidden="1" customWidth="1"/>
    <col min="7" max="9" width="13.5703125" hidden="1" customWidth="1"/>
    <col min="10" max="10" width="1.42578125" customWidth="1"/>
    <col min="11" max="12" width="13.5703125" customWidth="1"/>
    <col min="13" max="13" width="14.5703125" bestFit="1" customWidth="1"/>
    <col min="14" max="14" width="1.42578125" customWidth="1"/>
    <col min="15" max="17" width="13.5703125" customWidth="1"/>
    <col min="18" max="18" width="22.140625" customWidth="1"/>
  </cols>
  <sheetData>
    <row r="2" spans="2:18" ht="14.1" customHeight="1" x14ac:dyDescent="0.25">
      <c r="B2" s="516" t="str">
        <f>Variance!B2</f>
        <v>IDA Grant No. D680-PK &amp; IDA Credit No. 6740-PK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</row>
    <row r="3" spans="2:18" ht="12.95" customHeight="1" x14ac:dyDescent="0.25">
      <c r="B3" s="516" t="str">
        <f>Variance!B3</f>
        <v>P166309: Khyber Pakhtunkhwa Human Capital Investment Project</v>
      </c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</row>
    <row r="4" spans="2:18" ht="13.5" customHeight="1" x14ac:dyDescent="0.2">
      <c r="B4" s="518" t="str">
        <f>Variance!B4</f>
        <v>Interim Financial Report for the Semester ended 30/06/2024</v>
      </c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</row>
    <row r="5" spans="2:18" ht="12.95" customHeight="1" thickBot="1" x14ac:dyDescent="0.25">
      <c r="B5" s="520" t="s">
        <v>65</v>
      </c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</row>
    <row r="6" spans="2:18" s="113" customFormat="1" ht="15" thickBot="1" x14ac:dyDescent="0.25">
      <c r="B6" s="126"/>
      <c r="C6" s="127"/>
      <c r="D6" s="128" t="s">
        <v>69</v>
      </c>
      <c r="E6" s="129"/>
      <c r="F6" s="17"/>
      <c r="G6" s="130"/>
      <c r="H6" s="131" t="s">
        <v>70</v>
      </c>
      <c r="I6" s="132"/>
      <c r="J6" s="17"/>
      <c r="K6" s="130"/>
      <c r="L6" s="131" t="s">
        <v>70</v>
      </c>
      <c r="M6" s="132"/>
      <c r="O6" s="130"/>
      <c r="P6" s="131" t="s">
        <v>70</v>
      </c>
      <c r="Q6" s="132"/>
    </row>
    <row r="7" spans="2:18" ht="15" thickBot="1" x14ac:dyDescent="0.25">
      <c r="B7" s="126"/>
      <c r="C7" s="511" t="s">
        <v>63</v>
      </c>
      <c r="D7" s="512"/>
      <c r="E7" s="513"/>
      <c r="F7" s="15"/>
      <c r="G7" s="511" t="s">
        <v>64</v>
      </c>
      <c r="H7" s="512"/>
      <c r="I7" s="513"/>
      <c r="J7" s="15"/>
      <c r="K7" s="511" t="s">
        <v>126</v>
      </c>
      <c r="L7" s="512"/>
      <c r="M7" s="513"/>
      <c r="O7" s="511" t="s">
        <v>127</v>
      </c>
      <c r="P7" s="512"/>
      <c r="Q7" s="513"/>
    </row>
    <row r="8" spans="2:18" x14ac:dyDescent="0.2">
      <c r="B8" s="16"/>
      <c r="C8" s="103" t="s">
        <v>11</v>
      </c>
      <c r="D8" s="19" t="s">
        <v>12</v>
      </c>
      <c r="E8" s="20" t="s">
        <v>13</v>
      </c>
      <c r="F8" s="4"/>
      <c r="G8" s="103" t="s">
        <v>11</v>
      </c>
      <c r="H8" s="19" t="s">
        <v>12</v>
      </c>
      <c r="I8" s="20" t="s">
        <v>13</v>
      </c>
      <c r="J8" s="4"/>
      <c r="K8" s="103" t="s">
        <v>11</v>
      </c>
      <c r="L8" s="19" t="s">
        <v>12</v>
      </c>
      <c r="M8" s="20" t="s">
        <v>13</v>
      </c>
      <c r="O8" s="103" t="s">
        <v>11</v>
      </c>
      <c r="P8" s="19" t="s">
        <v>12</v>
      </c>
      <c r="Q8" s="20" t="s">
        <v>13</v>
      </c>
    </row>
    <row r="9" spans="2:18" x14ac:dyDescent="0.2">
      <c r="B9" s="21"/>
      <c r="C9" s="104" t="s">
        <v>14</v>
      </c>
      <c r="D9" s="17" t="s">
        <v>15</v>
      </c>
      <c r="E9" s="18" t="s">
        <v>15</v>
      </c>
      <c r="F9" s="4"/>
      <c r="G9" s="104" t="s">
        <v>14</v>
      </c>
      <c r="H9" s="17" t="s">
        <v>15</v>
      </c>
      <c r="I9" s="18" t="s">
        <v>15</v>
      </c>
      <c r="J9" s="4"/>
      <c r="K9" s="104" t="s">
        <v>14</v>
      </c>
      <c r="L9" s="17" t="s">
        <v>15</v>
      </c>
      <c r="M9" s="18" t="s">
        <v>15</v>
      </c>
      <c r="O9" s="104" t="s">
        <v>14</v>
      </c>
      <c r="P9" s="17" t="s">
        <v>15</v>
      </c>
      <c r="Q9" s="18" t="s">
        <v>15</v>
      </c>
    </row>
    <row r="10" spans="2:18" x14ac:dyDescent="0.2">
      <c r="B10" s="22" t="s">
        <v>16</v>
      </c>
      <c r="C10" s="22"/>
      <c r="D10" s="23"/>
      <c r="E10" s="24"/>
      <c r="F10" s="4"/>
      <c r="G10" s="22"/>
      <c r="H10" s="23"/>
      <c r="I10" s="24"/>
      <c r="J10" s="4"/>
      <c r="K10" s="22"/>
      <c r="L10" s="23"/>
      <c r="M10" s="24"/>
      <c r="O10" s="22"/>
      <c r="P10" s="23"/>
      <c r="Q10" s="24"/>
    </row>
    <row r="11" spans="2:18" x14ac:dyDescent="0.2">
      <c r="B11" s="25" t="s">
        <v>46</v>
      </c>
      <c r="C11" s="25"/>
      <c r="D11" s="114">
        <f>'Sources &amp; Application'!F14</f>
        <v>0</v>
      </c>
      <c r="E11" s="45"/>
      <c r="F11" s="14"/>
      <c r="G11" s="25"/>
      <c r="H11" s="114">
        <f>'Sources &amp; Application'!F15</f>
        <v>0</v>
      </c>
      <c r="I11" s="45"/>
      <c r="J11" s="4"/>
      <c r="K11" s="25"/>
      <c r="L11" s="114">
        <v>5951001</v>
      </c>
      <c r="M11" s="45"/>
      <c r="O11" s="25"/>
      <c r="P11" s="114">
        <v>3381946</v>
      </c>
      <c r="Q11" s="45"/>
      <c r="R11" s="328"/>
    </row>
    <row r="12" spans="2:18" x14ac:dyDescent="0.2">
      <c r="B12" s="25" t="s">
        <v>47</v>
      </c>
      <c r="C12" s="25"/>
      <c r="D12" s="114">
        <v>0</v>
      </c>
      <c r="E12" s="45"/>
      <c r="F12" s="46"/>
      <c r="G12" s="25"/>
      <c r="H12" s="114">
        <v>0</v>
      </c>
      <c r="I12" s="45"/>
      <c r="J12" s="4"/>
      <c r="K12" s="25"/>
      <c r="L12" s="114">
        <v>291355</v>
      </c>
      <c r="M12" s="45"/>
      <c r="O12" s="25"/>
      <c r="P12" s="114">
        <v>190502</v>
      </c>
      <c r="Q12" s="45"/>
      <c r="R12" s="328"/>
    </row>
    <row r="13" spans="2:18" x14ac:dyDescent="0.2">
      <c r="B13" s="25" t="s">
        <v>17</v>
      </c>
      <c r="C13" s="25"/>
      <c r="D13" s="114">
        <f>D11-D12</f>
        <v>0</v>
      </c>
      <c r="E13" s="45"/>
      <c r="F13" s="4"/>
      <c r="G13" s="25"/>
      <c r="H13" s="114">
        <f>H11-H12</f>
        <v>0</v>
      </c>
      <c r="I13" s="45"/>
      <c r="J13" s="4"/>
      <c r="K13" s="25"/>
      <c r="L13" s="114">
        <f>L11-L12</f>
        <v>5659646</v>
      </c>
      <c r="M13" s="45"/>
      <c r="O13" s="25"/>
      <c r="P13" s="114">
        <f>P11-P12</f>
        <v>3191444</v>
      </c>
      <c r="Q13" s="45"/>
      <c r="R13" s="328"/>
    </row>
    <row r="14" spans="2:18" x14ac:dyDescent="0.2">
      <c r="B14" s="22" t="s">
        <v>18</v>
      </c>
      <c r="C14" s="22"/>
      <c r="D14" s="26"/>
      <c r="E14" s="27"/>
      <c r="F14" s="4"/>
      <c r="G14" s="22"/>
      <c r="H14" s="26"/>
      <c r="I14" s="27"/>
      <c r="J14" s="4"/>
      <c r="K14" s="22"/>
      <c r="L14" s="26"/>
      <c r="M14" s="27"/>
      <c r="O14" s="22"/>
      <c r="P14" s="26"/>
      <c r="Q14" s="27"/>
    </row>
    <row r="15" spans="2:18" x14ac:dyDescent="0.2">
      <c r="B15" s="329" t="s">
        <v>48</v>
      </c>
      <c r="C15" s="39"/>
      <c r="D15" s="115">
        <v>0</v>
      </c>
      <c r="E15" s="48"/>
      <c r="F15" s="4"/>
      <c r="G15" s="39"/>
      <c r="H15" s="46">
        <v>0</v>
      </c>
      <c r="I15" s="48"/>
      <c r="J15" s="4"/>
      <c r="K15" s="39"/>
      <c r="L15" s="115">
        <f>5096612-296</f>
        <v>5096316</v>
      </c>
      <c r="M15" s="294">
        <f>L15</f>
        <v>5096316</v>
      </c>
      <c r="O15" s="39"/>
      <c r="P15" s="115">
        <v>3381946</v>
      </c>
      <c r="Q15" s="48">
        <f>P15</f>
        <v>3381946</v>
      </c>
    </row>
    <row r="16" spans="2:18" x14ac:dyDescent="0.2">
      <c r="B16" s="25" t="s">
        <v>29</v>
      </c>
      <c r="C16" s="29"/>
      <c r="D16" s="116">
        <v>0</v>
      </c>
      <c r="E16" s="30"/>
      <c r="F16" s="4"/>
      <c r="G16" s="29"/>
      <c r="H16" s="42">
        <f>H37</f>
        <v>0</v>
      </c>
      <c r="I16" s="30"/>
      <c r="J16" s="4"/>
      <c r="K16" s="45"/>
      <c r="L16" s="42">
        <f>L37</f>
        <v>0</v>
      </c>
      <c r="M16" s="293">
        <v>0</v>
      </c>
      <c r="O16" s="29"/>
      <c r="P16" s="42">
        <f>P37</f>
        <v>0</v>
      </c>
      <c r="Q16" s="30"/>
    </row>
    <row r="17" spans="2:18" x14ac:dyDescent="0.2">
      <c r="B17" s="329" t="s">
        <v>49</v>
      </c>
      <c r="C17" s="28"/>
      <c r="D17" s="116">
        <f>D11</f>
        <v>0</v>
      </c>
      <c r="E17" s="30"/>
      <c r="F17" s="4"/>
      <c r="G17" s="28"/>
      <c r="H17" s="116">
        <f>H11</f>
        <v>0</v>
      </c>
      <c r="I17" s="30"/>
      <c r="J17" s="4"/>
      <c r="K17" s="44"/>
      <c r="L17" s="116">
        <f>'Sources &amp; Application'!F19</f>
        <v>5951001</v>
      </c>
      <c r="M17" s="293"/>
      <c r="O17" s="28"/>
      <c r="P17" s="116">
        <f>'Sources &amp; Application'!F20</f>
        <v>4309346</v>
      </c>
      <c r="Q17" s="30"/>
    </row>
    <row r="18" spans="2:18" x14ac:dyDescent="0.2">
      <c r="B18" s="25" t="s">
        <v>19</v>
      </c>
      <c r="C18" s="28"/>
      <c r="D18" s="116">
        <f>D16+D17</f>
        <v>0</v>
      </c>
      <c r="E18" s="42"/>
      <c r="F18" s="4"/>
      <c r="G18" s="28"/>
      <c r="H18" s="116">
        <f>H17</f>
        <v>0</v>
      </c>
      <c r="I18" s="42"/>
      <c r="J18" s="4"/>
      <c r="K18" s="48"/>
      <c r="L18" s="116"/>
      <c r="M18" s="116">
        <f>L16+L17</f>
        <v>5951001</v>
      </c>
      <c r="O18" s="28"/>
      <c r="P18" s="116"/>
      <c r="Q18" s="116">
        <f>P16+P17</f>
        <v>4309346</v>
      </c>
    </row>
    <row r="19" spans="2:18" x14ac:dyDescent="0.2">
      <c r="B19" s="330" t="s">
        <v>36</v>
      </c>
      <c r="C19" s="31"/>
      <c r="D19" s="116">
        <f>D18</f>
        <v>0</v>
      </c>
      <c r="E19" s="44"/>
      <c r="F19" s="14"/>
      <c r="G19" s="31"/>
      <c r="H19" s="116">
        <f>H18</f>
        <v>0</v>
      </c>
      <c r="I19" s="44"/>
      <c r="J19" s="4"/>
      <c r="K19" s="292"/>
      <c r="L19" s="116">
        <v>0</v>
      </c>
      <c r="M19" s="294">
        <f>M15+M18</f>
        <v>11047317</v>
      </c>
      <c r="O19" s="31"/>
      <c r="P19" s="116">
        <v>0</v>
      </c>
      <c r="Q19" s="294">
        <f>Q15+Q18</f>
        <v>7691292</v>
      </c>
    </row>
    <row r="20" spans="2:18" x14ac:dyDescent="0.2">
      <c r="B20" s="25" t="s">
        <v>137</v>
      </c>
      <c r="C20" s="28"/>
      <c r="D20" s="116">
        <f>D13</f>
        <v>0</v>
      </c>
      <c r="E20" s="42"/>
      <c r="F20" s="54"/>
      <c r="G20" s="28"/>
      <c r="H20" s="116">
        <f>H19</f>
        <v>0</v>
      </c>
      <c r="I20" s="42"/>
      <c r="J20" s="4"/>
      <c r="K20" s="28"/>
      <c r="L20" s="116"/>
      <c r="M20" s="116">
        <f>'BR A-129 Credit'!I43</f>
        <v>8706891.3715527505</v>
      </c>
      <c r="O20" s="28"/>
      <c r="P20" s="116">
        <v>0</v>
      </c>
      <c r="Q20" s="116">
        <f>'BR A-128 Grant'!I43</f>
        <v>6007512.4880242683</v>
      </c>
    </row>
    <row r="21" spans="2:18" x14ac:dyDescent="0.2">
      <c r="B21" s="25" t="s">
        <v>30</v>
      </c>
      <c r="C21" s="29"/>
      <c r="D21" s="116">
        <f>D20-D42</f>
        <v>0</v>
      </c>
      <c r="E21" s="42"/>
      <c r="F21" s="14"/>
      <c r="G21" s="29"/>
      <c r="H21" s="116">
        <v>0</v>
      </c>
      <c r="I21" s="42"/>
      <c r="J21" s="4"/>
      <c r="K21" s="29"/>
      <c r="L21" s="116">
        <v>0</v>
      </c>
      <c r="M21" s="42"/>
      <c r="O21" s="29"/>
      <c r="P21" s="116">
        <v>0</v>
      </c>
      <c r="Q21" s="42"/>
    </row>
    <row r="22" spans="2:18" x14ac:dyDescent="0.2">
      <c r="B22" s="329" t="s">
        <v>53</v>
      </c>
      <c r="C22" s="28"/>
      <c r="D22" s="116">
        <f>D12</f>
        <v>0</v>
      </c>
      <c r="E22" s="30"/>
      <c r="F22" s="14"/>
      <c r="G22" s="28"/>
      <c r="H22" s="116">
        <v>0</v>
      </c>
      <c r="I22" s="30"/>
      <c r="K22" s="44"/>
      <c r="L22" s="116"/>
      <c r="M22" s="30"/>
      <c r="O22" s="28"/>
      <c r="P22" s="116">
        <v>0</v>
      </c>
      <c r="Q22" s="30"/>
    </row>
    <row r="23" spans="2:18" x14ac:dyDescent="0.2">
      <c r="B23" s="329" t="s">
        <v>59</v>
      </c>
      <c r="C23" s="28"/>
      <c r="D23" s="116">
        <f>D22</f>
        <v>0</v>
      </c>
      <c r="E23" s="30"/>
      <c r="F23" s="14"/>
      <c r="G23" s="28"/>
      <c r="H23" s="116">
        <v>0</v>
      </c>
      <c r="I23" s="30"/>
      <c r="K23" s="44"/>
      <c r="L23" s="116">
        <f>'Sources &amp; Application'!F68+'Sources &amp; Application'!F77+'Sources &amp; Application'!F86</f>
        <v>2340425.29</v>
      </c>
      <c r="M23" s="42"/>
      <c r="O23" s="28"/>
      <c r="P23" s="116">
        <f>'Sources &amp; Application'!F40+'Sources &amp; Application'!F49+'Sources &amp; Application'!F58</f>
        <v>1683779.2840000002</v>
      </c>
      <c r="Q23" s="30"/>
    </row>
    <row r="24" spans="2:18" x14ac:dyDescent="0.2">
      <c r="B24" s="25" t="s">
        <v>20</v>
      </c>
      <c r="C24" s="28"/>
      <c r="D24" s="116">
        <f>D21+D22</f>
        <v>0</v>
      </c>
      <c r="E24" s="42"/>
      <c r="F24" s="4"/>
      <c r="G24" s="28"/>
      <c r="H24" s="116">
        <f>H21+H22</f>
        <v>0</v>
      </c>
      <c r="I24" s="42"/>
      <c r="K24" s="44"/>
      <c r="L24" s="116"/>
      <c r="M24" s="116">
        <f>L21+L23</f>
        <v>2340425.29</v>
      </c>
      <c r="O24" s="28"/>
      <c r="P24" s="116"/>
      <c r="Q24" s="116">
        <f>P21+P23</f>
        <v>1683779.2840000002</v>
      </c>
    </row>
    <row r="25" spans="2:18" x14ac:dyDescent="0.2">
      <c r="B25" s="25" t="s">
        <v>152</v>
      </c>
      <c r="C25" s="28"/>
      <c r="D25" s="116">
        <f>D20+D24</f>
        <v>0</v>
      </c>
      <c r="E25" s="42"/>
      <c r="F25" s="14"/>
      <c r="G25" s="28"/>
      <c r="H25" s="116">
        <f>H20+H24</f>
        <v>0</v>
      </c>
      <c r="I25" s="42"/>
      <c r="J25" s="14"/>
      <c r="K25" s="28"/>
      <c r="L25" s="116"/>
      <c r="M25" s="116">
        <f>+M20+M24</f>
        <v>11047316.66155275</v>
      </c>
      <c r="O25" s="28"/>
      <c r="P25" s="116"/>
      <c r="Q25" s="116">
        <f>+Q20+Q24</f>
        <v>7691291.7720242683</v>
      </c>
      <c r="R25" s="1" t="s">
        <v>153</v>
      </c>
    </row>
    <row r="26" spans="2:18" x14ac:dyDescent="0.2">
      <c r="B26" s="25" t="s">
        <v>21</v>
      </c>
      <c r="C26" s="514">
        <f>D19-D25</f>
        <v>0</v>
      </c>
      <c r="D26" s="515"/>
      <c r="E26" s="56"/>
      <c r="F26" s="97"/>
      <c r="G26" s="514">
        <f>H19-H25</f>
        <v>0</v>
      </c>
      <c r="H26" s="515"/>
      <c r="I26" s="56"/>
      <c r="J26" s="4"/>
      <c r="K26" s="514"/>
      <c r="L26" s="515"/>
      <c r="M26" s="295">
        <f>M19-M25</f>
        <v>0.33844725042581558</v>
      </c>
      <c r="O26" s="514"/>
      <c r="P26" s="515"/>
      <c r="Q26" s="295">
        <f>Q19-Q25</f>
        <v>0.22797573171555996</v>
      </c>
    </row>
    <row r="27" spans="2:18" ht="13.5" thickBot="1" x14ac:dyDescent="0.25">
      <c r="B27" s="101" t="s">
        <v>22</v>
      </c>
      <c r="C27" s="32"/>
      <c r="D27" s="33"/>
      <c r="E27" s="33"/>
      <c r="F27" s="4"/>
      <c r="G27" s="32"/>
      <c r="H27" s="33"/>
      <c r="I27" s="33"/>
      <c r="J27" s="4"/>
      <c r="K27" s="32"/>
      <c r="L27" s="33"/>
      <c r="M27" s="33"/>
      <c r="O27" s="32"/>
      <c r="P27" s="33"/>
      <c r="Q27" s="33"/>
    </row>
    <row r="28" spans="2:18" x14ac:dyDescent="0.2">
      <c r="B28" s="34" t="s">
        <v>50</v>
      </c>
      <c r="C28" s="34"/>
      <c r="D28" s="36">
        <v>0</v>
      </c>
      <c r="E28" s="55"/>
      <c r="F28" s="4"/>
      <c r="G28" s="34"/>
      <c r="H28" s="123">
        <v>0</v>
      </c>
      <c r="I28" s="55"/>
      <c r="J28" s="4"/>
      <c r="K28" s="34"/>
      <c r="L28" s="123"/>
      <c r="M28" s="332">
        <f>'Cash Forecast'!F81</f>
        <v>19441224.202947367</v>
      </c>
      <c r="N28" s="319"/>
      <c r="O28" s="321"/>
      <c r="P28" s="322"/>
      <c r="Q28" s="332">
        <f>'Cash Forecast'!F40</f>
        <v>7113422.2110877205</v>
      </c>
    </row>
    <row r="29" spans="2:18" x14ac:dyDescent="0.2">
      <c r="B29" s="34" t="s">
        <v>23</v>
      </c>
      <c r="C29" s="34"/>
      <c r="D29" s="117">
        <f>D20</f>
        <v>0</v>
      </c>
      <c r="E29" s="35"/>
      <c r="F29" s="4"/>
      <c r="G29" s="34"/>
      <c r="H29" s="117">
        <f>H25</f>
        <v>0</v>
      </c>
      <c r="I29" s="35"/>
      <c r="J29" s="4"/>
      <c r="K29" s="34"/>
      <c r="L29" s="117"/>
      <c r="M29" s="296">
        <f>M20</f>
        <v>8706891.3715527505</v>
      </c>
      <c r="O29" s="34"/>
      <c r="P29" s="117"/>
      <c r="Q29" s="296">
        <f>Q20</f>
        <v>6007512.4880242683</v>
      </c>
    </row>
    <row r="30" spans="2:18" x14ac:dyDescent="0.2">
      <c r="B30" s="34" t="s">
        <v>24</v>
      </c>
      <c r="C30" s="34"/>
      <c r="D30" s="118">
        <v>0</v>
      </c>
      <c r="E30" s="35"/>
      <c r="F30" s="4"/>
      <c r="G30" s="34"/>
      <c r="H30" s="118">
        <v>0</v>
      </c>
      <c r="I30" s="35"/>
      <c r="J30" s="4"/>
      <c r="K30" s="34"/>
      <c r="L30" s="118"/>
      <c r="M30" s="296">
        <v>0</v>
      </c>
      <c r="O30" s="34"/>
      <c r="P30" s="118"/>
      <c r="Q30" s="35">
        <v>0</v>
      </c>
    </row>
    <row r="31" spans="2:18" x14ac:dyDescent="0.2">
      <c r="B31" s="34" t="s">
        <v>25</v>
      </c>
      <c r="C31" s="34"/>
      <c r="D31" s="119">
        <f>D29+D30</f>
        <v>0</v>
      </c>
      <c r="E31" s="43"/>
      <c r="F31" s="4"/>
      <c r="G31" s="34"/>
      <c r="H31" s="119">
        <f>H29+H30</f>
        <v>0</v>
      </c>
      <c r="I31" s="43"/>
      <c r="J31" s="98"/>
      <c r="K31" s="34"/>
      <c r="L31" s="119"/>
      <c r="M31" s="119">
        <f>M29+M30</f>
        <v>8706891.3715527505</v>
      </c>
      <c r="O31" s="34"/>
      <c r="P31" s="119"/>
      <c r="Q31" s="119">
        <f>Q29+Q30</f>
        <v>6007512.4880242683</v>
      </c>
    </row>
    <row r="32" spans="2:18" ht="13.5" thickBot="1" x14ac:dyDescent="0.25">
      <c r="B32" s="102" t="s">
        <v>37</v>
      </c>
      <c r="C32" s="102"/>
      <c r="D32" s="120">
        <f>D28-D31</f>
        <v>0</v>
      </c>
      <c r="E32" s="53"/>
      <c r="F32" s="99"/>
      <c r="G32" s="102"/>
      <c r="H32" s="120">
        <f>H28-H31</f>
        <v>0</v>
      </c>
      <c r="I32" s="53"/>
      <c r="J32" s="100"/>
      <c r="K32" s="102"/>
      <c r="L32" s="120"/>
      <c r="M32" s="318">
        <f>M28-M31</f>
        <v>10734332.831394617</v>
      </c>
      <c r="N32" s="319"/>
      <c r="O32" s="320"/>
      <c r="P32" s="318"/>
      <c r="Q32" s="318">
        <f>Q28-Q31</f>
        <v>1105909.7230634522</v>
      </c>
    </row>
    <row r="33" spans="2:16" ht="15" x14ac:dyDescent="0.25">
      <c r="B33" s="2"/>
      <c r="C33" s="2"/>
      <c r="D33" s="3"/>
      <c r="E33" s="3"/>
      <c r="G33" s="2"/>
      <c r="H33" s="3"/>
      <c r="I33" s="3"/>
      <c r="J33" s="50"/>
    </row>
    <row r="34" spans="2:16" x14ac:dyDescent="0.2">
      <c r="B34" s="15" t="s">
        <v>27</v>
      </c>
      <c r="C34" s="4"/>
      <c r="D34" s="4"/>
      <c r="E34" s="14"/>
      <c r="G34" s="4"/>
      <c r="H34" s="4"/>
      <c r="I34" s="14"/>
      <c r="J34" s="50"/>
    </row>
    <row r="35" spans="2:16" x14ac:dyDescent="0.2">
      <c r="B35" s="4" t="s">
        <v>170</v>
      </c>
      <c r="C35" s="4"/>
      <c r="D35" s="52">
        <v>0</v>
      </c>
      <c r="E35" s="6"/>
      <c r="G35" s="4"/>
      <c r="H35" s="52">
        <v>0</v>
      </c>
      <c r="I35" s="6"/>
      <c r="J35" s="50"/>
      <c r="K35" s="4"/>
      <c r="L35" s="52">
        <v>0</v>
      </c>
      <c r="O35" s="4"/>
      <c r="P35" s="52">
        <v>0</v>
      </c>
    </row>
    <row r="36" spans="2:16" x14ac:dyDescent="0.2">
      <c r="B36" s="4" t="s">
        <v>187</v>
      </c>
      <c r="C36" s="4"/>
      <c r="D36" s="121">
        <v>0</v>
      </c>
      <c r="E36" s="4"/>
      <c r="G36" s="4"/>
      <c r="H36" s="52">
        <v>0</v>
      </c>
      <c r="I36" s="4"/>
      <c r="K36" s="4"/>
      <c r="L36" s="52">
        <v>0</v>
      </c>
      <c r="O36" s="4"/>
      <c r="P36" s="52">
        <v>0</v>
      </c>
    </row>
    <row r="37" spans="2:16" x14ac:dyDescent="0.2">
      <c r="B37" s="37" t="s">
        <v>51</v>
      </c>
      <c r="C37" s="38"/>
      <c r="D37" s="122">
        <f>D36+D35</f>
        <v>0</v>
      </c>
      <c r="E37" s="6"/>
      <c r="G37" s="38"/>
      <c r="H37" s="40">
        <f>H35+H36</f>
        <v>0</v>
      </c>
      <c r="I37" s="6"/>
      <c r="K37" s="38"/>
      <c r="L37" s="40">
        <f>L35+L36</f>
        <v>0</v>
      </c>
      <c r="O37" s="38"/>
      <c r="P37" s="40">
        <f>P35+P36</f>
        <v>0</v>
      </c>
    </row>
    <row r="38" spans="2:16" x14ac:dyDescent="0.2">
      <c r="B38" s="5" t="s">
        <v>0</v>
      </c>
      <c r="C38" s="4"/>
      <c r="D38" s="4"/>
      <c r="E38" s="4"/>
      <c r="G38" s="4"/>
      <c r="H38" s="4"/>
      <c r="I38" s="4"/>
      <c r="K38" s="4"/>
      <c r="L38" s="4"/>
      <c r="O38" s="4"/>
      <c r="P38" s="4"/>
    </row>
    <row r="39" spans="2:16" x14ac:dyDescent="0.2">
      <c r="B39" s="15" t="s">
        <v>28</v>
      </c>
      <c r="C39" s="4"/>
      <c r="D39" s="4"/>
      <c r="E39" s="4"/>
      <c r="G39" s="4"/>
      <c r="H39" s="4"/>
      <c r="I39" s="4"/>
      <c r="K39" s="4"/>
      <c r="L39" s="4"/>
      <c r="O39" s="4"/>
      <c r="P39" s="4"/>
    </row>
    <row r="40" spans="2:16" ht="15.75" x14ac:dyDescent="0.2">
      <c r="B40" s="4" t="s">
        <v>169</v>
      </c>
      <c r="C40" s="4"/>
      <c r="D40" s="52">
        <v>0</v>
      </c>
      <c r="E40" s="51"/>
      <c r="G40" s="4"/>
      <c r="H40" s="52">
        <v>0</v>
      </c>
      <c r="I40" s="51"/>
      <c r="K40" s="4"/>
      <c r="L40" s="52">
        <v>0</v>
      </c>
      <c r="O40" s="4"/>
      <c r="P40" s="52">
        <v>0</v>
      </c>
    </row>
    <row r="41" spans="2:16" x14ac:dyDescent="0.2">
      <c r="B41" s="4" t="s">
        <v>188</v>
      </c>
      <c r="C41" s="4"/>
      <c r="D41" s="121">
        <f>D13</f>
        <v>0</v>
      </c>
      <c r="E41" s="4"/>
      <c r="G41" s="4"/>
      <c r="H41" s="121">
        <v>0</v>
      </c>
      <c r="I41" s="4"/>
      <c r="K41" s="4"/>
      <c r="L41" s="121">
        <v>0</v>
      </c>
      <c r="O41" s="4"/>
      <c r="P41" s="121">
        <v>0</v>
      </c>
    </row>
    <row r="42" spans="2:16" x14ac:dyDescent="0.2">
      <c r="B42" s="37" t="s">
        <v>52</v>
      </c>
      <c r="C42" s="38"/>
      <c r="D42" s="122">
        <f>D40+D41</f>
        <v>0</v>
      </c>
      <c r="E42" s="4"/>
      <c r="G42" s="38"/>
      <c r="H42" s="122">
        <f>H40+H41</f>
        <v>0</v>
      </c>
      <c r="I42" s="4"/>
      <c r="K42" s="38"/>
      <c r="L42" s="122">
        <f>L40+L41</f>
        <v>0</v>
      </c>
      <c r="O42" s="38"/>
      <c r="P42" s="122">
        <f>P40+P41</f>
        <v>0</v>
      </c>
    </row>
    <row r="43" spans="2:16" x14ac:dyDescent="0.2">
      <c r="B43" s="1"/>
      <c r="C43" s="1"/>
      <c r="D43" s="1"/>
      <c r="E43" s="1"/>
    </row>
    <row r="44" spans="2:16" x14ac:dyDescent="0.2">
      <c r="B44" s="4" t="s">
        <v>26</v>
      </c>
    </row>
  </sheetData>
  <mergeCells count="12">
    <mergeCell ref="K7:M7"/>
    <mergeCell ref="K26:L26"/>
    <mergeCell ref="O7:Q7"/>
    <mergeCell ref="O26:P26"/>
    <mergeCell ref="B2:Q2"/>
    <mergeCell ref="B3:Q3"/>
    <mergeCell ref="B4:Q4"/>
    <mergeCell ref="B5:Q5"/>
    <mergeCell ref="G26:H26"/>
    <mergeCell ref="C7:E7"/>
    <mergeCell ref="G7:I7"/>
    <mergeCell ref="C26:D26"/>
  </mergeCells>
  <printOptions horizontalCentered="1"/>
  <pageMargins left="0.7" right="0.7" top="0.75" bottom="0.75" header="0.3" footer="0.3"/>
  <pageSetup scale="7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46"/>
  <sheetViews>
    <sheetView topLeftCell="A37" workbookViewId="0">
      <selection activeCell="B43" sqref="B43:E43"/>
    </sheetView>
  </sheetViews>
  <sheetFormatPr defaultRowHeight="12.75" x14ac:dyDescent="0.2"/>
  <cols>
    <col min="1" max="1" width="6" customWidth="1"/>
    <col min="3" max="3" width="54" bestFit="1" customWidth="1"/>
    <col min="4" max="4" width="10.28515625" bestFit="1" customWidth="1"/>
    <col min="5" max="5" width="10.5703125" bestFit="1" customWidth="1"/>
    <col min="6" max="6" width="2.85546875" customWidth="1"/>
    <col min="7" max="7" width="19.5703125" bestFit="1" customWidth="1"/>
    <col min="8" max="8" width="9.7109375" bestFit="1" customWidth="1"/>
    <col min="9" max="9" width="13.5703125" bestFit="1" customWidth="1"/>
    <col min="10" max="10" width="16.5703125" bestFit="1" customWidth="1"/>
    <col min="11" max="11" width="10" bestFit="1" customWidth="1"/>
    <col min="12" max="12" width="17.42578125" bestFit="1" customWidth="1"/>
  </cols>
  <sheetData>
    <row r="1" spans="2:12" ht="20.100000000000001" customHeight="1" thickBot="1" x14ac:dyDescent="0.25">
      <c r="B1" s="526" t="s">
        <v>112</v>
      </c>
      <c r="C1" s="527"/>
      <c r="D1" s="527"/>
      <c r="E1" s="527"/>
      <c r="F1" s="527"/>
      <c r="G1" s="527"/>
      <c r="H1" s="527"/>
      <c r="I1" s="528"/>
    </row>
    <row r="2" spans="2:12" ht="20.100000000000001" customHeight="1" thickBot="1" x14ac:dyDescent="0.25">
      <c r="B2" s="526" t="s">
        <v>121</v>
      </c>
      <c r="C2" s="527"/>
      <c r="D2" s="527"/>
      <c r="E2" s="527"/>
      <c r="F2" s="527"/>
      <c r="G2" s="527"/>
      <c r="H2" s="527"/>
      <c r="I2" s="528"/>
    </row>
    <row r="3" spans="2:12" ht="20.100000000000001" customHeight="1" thickBot="1" x14ac:dyDescent="0.25">
      <c r="B3" s="526" t="s">
        <v>140</v>
      </c>
      <c r="C3" s="527"/>
      <c r="D3" s="527"/>
      <c r="E3" s="527"/>
      <c r="F3" s="527"/>
      <c r="G3" s="527"/>
      <c r="H3" s="527"/>
      <c r="I3" s="528"/>
    </row>
    <row r="4" spans="2:12" ht="20.100000000000001" customHeight="1" thickBot="1" x14ac:dyDescent="0.25">
      <c r="B4" s="527" t="s">
        <v>189</v>
      </c>
      <c r="C4" s="527"/>
      <c r="D4" s="527"/>
      <c r="E4" s="527"/>
      <c r="F4" s="527"/>
      <c r="G4" s="527"/>
      <c r="H4" s="527"/>
      <c r="I4" s="527"/>
    </row>
    <row r="5" spans="2:12" x14ac:dyDescent="0.2">
      <c r="B5" s="240"/>
      <c r="C5" s="240"/>
      <c r="D5" s="240"/>
      <c r="E5" s="240"/>
      <c r="F5" s="240"/>
      <c r="G5" s="240"/>
      <c r="H5" s="240"/>
      <c r="I5" s="240"/>
    </row>
    <row r="6" spans="2:12" ht="13.5" thickBot="1" x14ac:dyDescent="0.25">
      <c r="B6" s="241"/>
      <c r="C6" s="241"/>
      <c r="D6" s="241"/>
      <c r="E6" s="241"/>
      <c r="F6" s="241"/>
      <c r="G6" s="241"/>
      <c r="H6" s="241"/>
      <c r="I6" s="242"/>
    </row>
    <row r="7" spans="2:12" ht="14.45" customHeight="1" thickBot="1" x14ac:dyDescent="0.25">
      <c r="B7" s="529" t="s">
        <v>190</v>
      </c>
      <c r="C7" s="530"/>
      <c r="D7" s="530"/>
      <c r="E7" s="531"/>
      <c r="F7" s="314"/>
      <c r="G7" s="315">
        <v>1684900547</v>
      </c>
      <c r="H7" s="241"/>
      <c r="I7" s="243">
        <v>6203890.8499999996</v>
      </c>
      <c r="L7" s="395"/>
    </row>
    <row r="8" spans="2:12" x14ac:dyDescent="0.2">
      <c r="B8" s="241"/>
      <c r="C8" s="244"/>
      <c r="D8" s="244"/>
      <c r="E8" s="244"/>
      <c r="F8" s="244"/>
      <c r="G8" s="244"/>
      <c r="H8" s="244" t="s">
        <v>113</v>
      </c>
      <c r="I8" s="245" t="s">
        <v>114</v>
      </c>
    </row>
    <row r="9" spans="2:12" ht="30" customHeight="1" x14ac:dyDescent="0.2">
      <c r="B9" s="244" t="s">
        <v>115</v>
      </c>
      <c r="C9" s="244" t="s">
        <v>116</v>
      </c>
      <c r="D9" s="244"/>
      <c r="E9" s="246"/>
      <c r="F9" s="246"/>
      <c r="G9" s="241"/>
      <c r="H9" s="241"/>
      <c r="I9" s="242"/>
    </row>
    <row r="10" spans="2:12" ht="13.5" thickBot="1" x14ac:dyDescent="0.25">
      <c r="B10" s="244"/>
      <c r="C10" s="244"/>
      <c r="D10" s="244"/>
      <c r="E10" s="244"/>
      <c r="F10" s="244"/>
      <c r="G10" s="244"/>
      <c r="H10" s="244"/>
      <c r="I10" s="247"/>
    </row>
    <row r="11" spans="2:12" ht="30" customHeight="1" thickBot="1" x14ac:dyDescent="0.25">
      <c r="B11" s="445" t="s">
        <v>117</v>
      </c>
      <c r="C11" s="446" t="s">
        <v>2</v>
      </c>
      <c r="D11" s="447" t="s">
        <v>118</v>
      </c>
      <c r="E11" s="448" t="s">
        <v>122</v>
      </c>
      <c r="F11" s="248"/>
      <c r="G11" s="445" t="s">
        <v>119</v>
      </c>
      <c r="H11" s="447" t="s">
        <v>120</v>
      </c>
      <c r="I11" s="448" t="s">
        <v>81</v>
      </c>
    </row>
    <row r="12" spans="2:12" ht="30" customHeight="1" x14ac:dyDescent="0.2">
      <c r="B12" s="449">
        <v>85</v>
      </c>
      <c r="C12" s="371" t="s">
        <v>191</v>
      </c>
      <c r="D12" s="450">
        <v>56953129</v>
      </c>
      <c r="E12" s="372" t="s">
        <v>192</v>
      </c>
      <c r="F12" s="451"/>
      <c r="G12" s="452">
        <v>922950</v>
      </c>
      <c r="H12" s="453">
        <v>236.6131</v>
      </c>
      <c r="I12" s="454">
        <f>+G12/H12</f>
        <v>3900.6716027134594</v>
      </c>
    </row>
    <row r="13" spans="2:12" ht="30" customHeight="1" x14ac:dyDescent="0.2">
      <c r="B13" s="455">
        <v>121</v>
      </c>
      <c r="C13" s="456" t="s">
        <v>193</v>
      </c>
      <c r="D13" s="457">
        <v>56953172</v>
      </c>
      <c r="E13" s="458">
        <v>45602</v>
      </c>
      <c r="F13" s="451"/>
      <c r="G13" s="459">
        <v>40713</v>
      </c>
      <c r="H13" s="378">
        <v>236.6131</v>
      </c>
      <c r="I13" s="379">
        <f>+G13/H13</f>
        <v>172.06570557589583</v>
      </c>
    </row>
    <row r="14" spans="2:12" ht="30" customHeight="1" x14ac:dyDescent="0.2">
      <c r="B14" s="396">
        <v>130</v>
      </c>
      <c r="C14" s="374" t="s">
        <v>194</v>
      </c>
      <c r="D14" s="397">
        <v>56953181</v>
      </c>
      <c r="E14" s="376" t="s">
        <v>195</v>
      </c>
      <c r="F14" s="451"/>
      <c r="G14" s="398">
        <v>437310</v>
      </c>
      <c r="H14" s="378">
        <v>236.6131</v>
      </c>
      <c r="I14" s="379">
        <f>+G14/H14</f>
        <v>1848.2070519341489</v>
      </c>
    </row>
    <row r="15" spans="2:12" ht="30" customHeight="1" x14ac:dyDescent="0.2">
      <c r="B15" s="396">
        <v>130</v>
      </c>
      <c r="C15" s="374" t="s">
        <v>196</v>
      </c>
      <c r="D15" s="397">
        <v>56953182</v>
      </c>
      <c r="E15" s="376" t="s">
        <v>195</v>
      </c>
      <c r="F15" s="451"/>
      <c r="G15" s="398">
        <v>249535</v>
      </c>
      <c r="H15" s="378">
        <v>236.6131</v>
      </c>
      <c r="I15" s="379">
        <f>+G15/H15</f>
        <v>1054.6119382232007</v>
      </c>
    </row>
    <row r="16" spans="2:12" ht="30" customHeight="1" x14ac:dyDescent="0.2">
      <c r="B16" s="396">
        <v>130</v>
      </c>
      <c r="C16" s="374" t="s">
        <v>197</v>
      </c>
      <c r="D16" s="397">
        <v>56953183</v>
      </c>
      <c r="E16" s="376" t="s">
        <v>195</v>
      </c>
      <c r="F16" s="451"/>
      <c r="G16" s="398">
        <v>159651</v>
      </c>
      <c r="H16" s="378">
        <v>236.6131</v>
      </c>
      <c r="I16" s="379">
        <f>+G16/H16</f>
        <v>674.73440819633402</v>
      </c>
    </row>
    <row r="17" spans="2:9" ht="30" customHeight="1" x14ac:dyDescent="0.2">
      <c r="B17" s="396">
        <v>131</v>
      </c>
      <c r="C17" s="374" t="s">
        <v>198</v>
      </c>
      <c r="D17" s="397">
        <v>56953184</v>
      </c>
      <c r="E17" s="376" t="s">
        <v>195</v>
      </c>
      <c r="F17" s="451"/>
      <c r="G17" s="398">
        <v>59507</v>
      </c>
      <c r="H17" s="378">
        <v>236.6131</v>
      </c>
      <c r="I17" s="379">
        <f t="shared" ref="I17:I41" si="0">+G17/H17</f>
        <v>251.49495104032701</v>
      </c>
    </row>
    <row r="18" spans="2:9" ht="30" customHeight="1" x14ac:dyDescent="0.2">
      <c r="B18" s="396">
        <v>131</v>
      </c>
      <c r="C18" s="374" t="s">
        <v>199</v>
      </c>
      <c r="D18" s="397">
        <v>56953185</v>
      </c>
      <c r="E18" s="376" t="s">
        <v>195</v>
      </c>
      <c r="F18" s="451"/>
      <c r="G18" s="398">
        <v>99527</v>
      </c>
      <c r="H18" s="378">
        <v>236.6131</v>
      </c>
      <c r="I18" s="379">
        <f t="shared" si="0"/>
        <v>420.63182469609671</v>
      </c>
    </row>
    <row r="19" spans="2:9" ht="30" customHeight="1" x14ac:dyDescent="0.2">
      <c r="B19" s="396">
        <v>131</v>
      </c>
      <c r="C19" s="374" t="s">
        <v>200</v>
      </c>
      <c r="D19" s="397">
        <v>56953186</v>
      </c>
      <c r="E19" s="376" t="s">
        <v>195</v>
      </c>
      <c r="F19" s="451"/>
      <c r="G19" s="398">
        <v>94500</v>
      </c>
      <c r="H19" s="378">
        <v>236.6131</v>
      </c>
      <c r="I19" s="379">
        <f t="shared" si="0"/>
        <v>399.38617092629272</v>
      </c>
    </row>
    <row r="20" spans="2:9" ht="30" customHeight="1" x14ac:dyDescent="0.2">
      <c r="B20" s="396">
        <v>131</v>
      </c>
      <c r="C20" s="374" t="s">
        <v>201</v>
      </c>
      <c r="D20" s="397">
        <v>56953187</v>
      </c>
      <c r="E20" s="376" t="s">
        <v>195</v>
      </c>
      <c r="F20" s="451"/>
      <c r="G20" s="398">
        <v>143123</v>
      </c>
      <c r="H20" s="378">
        <v>236.6131</v>
      </c>
      <c r="I20" s="379">
        <f t="shared" si="0"/>
        <v>604.88197821675976</v>
      </c>
    </row>
    <row r="21" spans="2:9" ht="30" customHeight="1" x14ac:dyDescent="0.2">
      <c r="B21" s="396">
        <v>131</v>
      </c>
      <c r="C21" s="374" t="s">
        <v>202</v>
      </c>
      <c r="D21" s="397">
        <v>56953188</v>
      </c>
      <c r="E21" s="376" t="s">
        <v>195</v>
      </c>
      <c r="F21" s="451"/>
      <c r="G21" s="398">
        <v>55229</v>
      </c>
      <c r="H21" s="378">
        <v>236.6131</v>
      </c>
      <c r="I21" s="379">
        <f t="shared" si="0"/>
        <v>233.41480247712406</v>
      </c>
    </row>
    <row r="22" spans="2:9" ht="30" customHeight="1" x14ac:dyDescent="0.2">
      <c r="B22" s="396">
        <v>131</v>
      </c>
      <c r="C22" s="374" t="s">
        <v>203</v>
      </c>
      <c r="D22" s="397">
        <v>56953189</v>
      </c>
      <c r="E22" s="376" t="s">
        <v>195</v>
      </c>
      <c r="F22" s="451"/>
      <c r="G22" s="398">
        <v>43176</v>
      </c>
      <c r="H22" s="378">
        <v>236.6131</v>
      </c>
      <c r="I22" s="379">
        <f t="shared" si="0"/>
        <v>182.47510387210176</v>
      </c>
    </row>
    <row r="23" spans="2:9" ht="30" customHeight="1" x14ac:dyDescent="0.2">
      <c r="B23" s="396">
        <v>131</v>
      </c>
      <c r="C23" s="374" t="s">
        <v>204</v>
      </c>
      <c r="D23" s="397">
        <v>56953190</v>
      </c>
      <c r="E23" s="376" t="s">
        <v>195</v>
      </c>
      <c r="F23" s="451"/>
      <c r="G23" s="398">
        <v>146160</v>
      </c>
      <c r="H23" s="378">
        <v>236.6131</v>
      </c>
      <c r="I23" s="379">
        <f t="shared" si="0"/>
        <v>617.71727769933284</v>
      </c>
    </row>
    <row r="24" spans="2:9" ht="30" customHeight="1" x14ac:dyDescent="0.2">
      <c r="B24" s="396">
        <v>131</v>
      </c>
      <c r="C24" s="374" t="s">
        <v>205</v>
      </c>
      <c r="D24" s="397">
        <v>56953191</v>
      </c>
      <c r="E24" s="376" t="s">
        <v>195</v>
      </c>
      <c r="F24" s="451"/>
      <c r="G24" s="398">
        <v>87696</v>
      </c>
      <c r="H24" s="378">
        <v>236.6131</v>
      </c>
      <c r="I24" s="379">
        <f t="shared" si="0"/>
        <v>370.63036661959967</v>
      </c>
    </row>
    <row r="25" spans="2:9" ht="30" customHeight="1" x14ac:dyDescent="0.2">
      <c r="B25" s="396">
        <v>131</v>
      </c>
      <c r="C25" s="374" t="s">
        <v>206</v>
      </c>
      <c r="D25" s="397">
        <v>56953192</v>
      </c>
      <c r="E25" s="376" t="s">
        <v>195</v>
      </c>
      <c r="F25" s="451"/>
      <c r="G25" s="398">
        <v>63945</v>
      </c>
      <c r="H25" s="378">
        <v>236.6131</v>
      </c>
      <c r="I25" s="379">
        <f t="shared" si="0"/>
        <v>270.25130899345811</v>
      </c>
    </row>
    <row r="26" spans="2:9" ht="30" customHeight="1" x14ac:dyDescent="0.2">
      <c r="B26" s="396">
        <v>132</v>
      </c>
      <c r="C26" s="374" t="s">
        <v>207</v>
      </c>
      <c r="D26" s="397">
        <v>56953193</v>
      </c>
      <c r="E26" s="376" t="s">
        <v>195</v>
      </c>
      <c r="F26" s="451"/>
      <c r="G26" s="398">
        <v>122211</v>
      </c>
      <c r="H26" s="378">
        <v>236.6131</v>
      </c>
      <c r="I26" s="379">
        <f t="shared" si="0"/>
        <v>516.50141095315519</v>
      </c>
    </row>
    <row r="27" spans="2:9" ht="30" customHeight="1" x14ac:dyDescent="0.2">
      <c r="B27" s="396">
        <v>133</v>
      </c>
      <c r="C27" s="374" t="s">
        <v>208</v>
      </c>
      <c r="D27" s="397">
        <v>56953194</v>
      </c>
      <c r="E27" s="376" t="s">
        <v>195</v>
      </c>
      <c r="F27" s="451"/>
      <c r="G27" s="398">
        <v>7331</v>
      </c>
      <c r="H27" s="378">
        <v>236.6131</v>
      </c>
      <c r="I27" s="379">
        <f t="shared" si="0"/>
        <v>30.983068984768806</v>
      </c>
    </row>
    <row r="28" spans="2:9" ht="30" customHeight="1" x14ac:dyDescent="0.2">
      <c r="B28" s="396">
        <v>134</v>
      </c>
      <c r="C28" s="374" t="s">
        <v>209</v>
      </c>
      <c r="D28" s="397">
        <v>56953195</v>
      </c>
      <c r="E28" s="376" t="s">
        <v>195</v>
      </c>
      <c r="F28" s="451"/>
      <c r="G28" s="398">
        <v>262902</v>
      </c>
      <c r="H28" s="378">
        <v>236.6131</v>
      </c>
      <c r="I28" s="379">
        <f t="shared" si="0"/>
        <v>1111.1050064430076</v>
      </c>
    </row>
    <row r="29" spans="2:9" ht="30" customHeight="1" x14ac:dyDescent="0.2">
      <c r="B29" s="396">
        <v>135</v>
      </c>
      <c r="C29" s="374" t="s">
        <v>210</v>
      </c>
      <c r="D29" s="397">
        <v>56953196</v>
      </c>
      <c r="E29" s="376" t="s">
        <v>195</v>
      </c>
      <c r="F29" s="451"/>
      <c r="G29" s="398">
        <v>11043406</v>
      </c>
      <c r="H29" s="378">
        <v>236.6131</v>
      </c>
      <c r="I29" s="379">
        <f t="shared" si="0"/>
        <v>46672.842712428006</v>
      </c>
    </row>
    <row r="30" spans="2:9" ht="30" customHeight="1" x14ac:dyDescent="0.2">
      <c r="B30" s="396">
        <v>136</v>
      </c>
      <c r="C30" s="374" t="s">
        <v>211</v>
      </c>
      <c r="D30" s="397">
        <v>56953197</v>
      </c>
      <c r="E30" s="376" t="s">
        <v>195</v>
      </c>
      <c r="F30" s="451"/>
      <c r="G30" s="398">
        <v>9248998</v>
      </c>
      <c r="H30" s="378">
        <v>236.6131</v>
      </c>
      <c r="I30" s="379">
        <f t="shared" si="0"/>
        <v>39089.120593914704</v>
      </c>
    </row>
    <row r="31" spans="2:9" ht="30" customHeight="1" x14ac:dyDescent="0.2">
      <c r="B31" s="396">
        <v>137</v>
      </c>
      <c r="C31" s="374" t="s">
        <v>212</v>
      </c>
      <c r="D31" s="397">
        <v>56953198</v>
      </c>
      <c r="E31" s="376" t="s">
        <v>195</v>
      </c>
      <c r="F31" s="451"/>
      <c r="G31" s="398">
        <v>4154016</v>
      </c>
      <c r="H31" s="378">
        <v>236.6131</v>
      </c>
      <c r="I31" s="379">
        <f t="shared" si="0"/>
        <v>17556.153906947671</v>
      </c>
    </row>
    <row r="32" spans="2:9" ht="30" customHeight="1" x14ac:dyDescent="0.2">
      <c r="B32" s="396">
        <v>138</v>
      </c>
      <c r="C32" s="374" t="s">
        <v>212</v>
      </c>
      <c r="D32" s="397">
        <v>56953199</v>
      </c>
      <c r="E32" s="376" t="s">
        <v>195</v>
      </c>
      <c r="F32" s="451"/>
      <c r="G32" s="398">
        <v>3904907</v>
      </c>
      <c r="H32" s="378">
        <v>236.6131</v>
      </c>
      <c r="I32" s="379">
        <f t="shared" si="0"/>
        <v>16503.342376225155</v>
      </c>
    </row>
    <row r="33" spans="2:12" ht="30" customHeight="1" x14ac:dyDescent="0.2">
      <c r="B33" s="396">
        <v>139</v>
      </c>
      <c r="C33" s="374" t="s">
        <v>212</v>
      </c>
      <c r="D33" s="397">
        <v>56953200</v>
      </c>
      <c r="E33" s="376" t="s">
        <v>195</v>
      </c>
      <c r="F33" s="451"/>
      <c r="G33" s="398">
        <v>8981942</v>
      </c>
      <c r="H33" s="378">
        <v>236.6131</v>
      </c>
      <c r="I33" s="379">
        <f t="shared" si="0"/>
        <v>37960.459501185687</v>
      </c>
    </row>
    <row r="34" spans="2:12" ht="30" customHeight="1" x14ac:dyDescent="0.2">
      <c r="B34" s="396">
        <v>140</v>
      </c>
      <c r="C34" s="374" t="s">
        <v>213</v>
      </c>
      <c r="D34" s="397">
        <v>56953201</v>
      </c>
      <c r="E34" s="376" t="s">
        <v>195</v>
      </c>
      <c r="F34" s="451"/>
      <c r="G34" s="398">
        <v>49600</v>
      </c>
      <c r="H34" s="378">
        <v>236.6131</v>
      </c>
      <c r="I34" s="379">
        <f t="shared" si="0"/>
        <v>209.62491087771556</v>
      </c>
    </row>
    <row r="35" spans="2:12" ht="30" customHeight="1" x14ac:dyDescent="0.2">
      <c r="B35" s="396">
        <v>141</v>
      </c>
      <c r="C35" s="374" t="s">
        <v>214</v>
      </c>
      <c r="D35" s="397">
        <v>56953202</v>
      </c>
      <c r="E35" s="376" t="s">
        <v>195</v>
      </c>
      <c r="F35" s="451"/>
      <c r="G35" s="398">
        <v>17920</v>
      </c>
      <c r="H35" s="378">
        <v>236.6131</v>
      </c>
      <c r="I35" s="379">
        <f t="shared" si="0"/>
        <v>75.735451671948852</v>
      </c>
    </row>
    <row r="36" spans="2:12" ht="30" customHeight="1" x14ac:dyDescent="0.2">
      <c r="B36" s="396">
        <v>142</v>
      </c>
      <c r="C36" s="374" t="s">
        <v>215</v>
      </c>
      <c r="D36" s="397">
        <v>56953203</v>
      </c>
      <c r="E36" s="376" t="s">
        <v>195</v>
      </c>
      <c r="F36" s="451"/>
      <c r="G36" s="398">
        <v>151854</v>
      </c>
      <c r="H36" s="378">
        <v>236.6131</v>
      </c>
      <c r="I36" s="379">
        <f t="shared" si="0"/>
        <v>641.78187936339953</v>
      </c>
    </row>
    <row r="37" spans="2:12" ht="30" customHeight="1" x14ac:dyDescent="0.2">
      <c r="B37" s="396">
        <v>143</v>
      </c>
      <c r="C37" s="374" t="s">
        <v>216</v>
      </c>
      <c r="D37" s="397">
        <v>56953204</v>
      </c>
      <c r="E37" s="376" t="s">
        <v>195</v>
      </c>
      <c r="F37" s="451"/>
      <c r="G37" s="398">
        <v>1161308</v>
      </c>
      <c r="H37" s="378">
        <v>236.6131</v>
      </c>
      <c r="I37" s="379">
        <f t="shared" si="0"/>
        <v>4908.0460887414938</v>
      </c>
    </row>
    <row r="38" spans="2:12" ht="30" customHeight="1" x14ac:dyDescent="0.2">
      <c r="B38" s="396">
        <v>144</v>
      </c>
      <c r="C38" s="374" t="s">
        <v>217</v>
      </c>
      <c r="D38" s="397">
        <v>56953205</v>
      </c>
      <c r="E38" s="376" t="s">
        <v>195</v>
      </c>
      <c r="F38" s="451"/>
      <c r="G38" s="398">
        <v>474390</v>
      </c>
      <c r="H38" s="378">
        <v>236.6131</v>
      </c>
      <c r="I38" s="379">
        <f t="shared" si="0"/>
        <v>2004.9185780499895</v>
      </c>
    </row>
    <row r="39" spans="2:12" ht="30" customHeight="1" x14ac:dyDescent="0.2">
      <c r="B39" s="396">
        <v>145</v>
      </c>
      <c r="C39" s="374" t="s">
        <v>218</v>
      </c>
      <c r="D39" s="397">
        <v>56953206</v>
      </c>
      <c r="E39" s="376" t="s">
        <v>195</v>
      </c>
      <c r="F39" s="451"/>
      <c r="G39" s="398">
        <v>2794928</v>
      </c>
      <c r="H39" s="378">
        <v>236.6131</v>
      </c>
      <c r="I39" s="379">
        <f t="shared" si="0"/>
        <v>11812.228486081287</v>
      </c>
    </row>
    <row r="40" spans="2:12" ht="30" customHeight="1" x14ac:dyDescent="0.2">
      <c r="B40" s="396">
        <v>147</v>
      </c>
      <c r="C40" s="374" t="s">
        <v>219</v>
      </c>
      <c r="D40" s="397">
        <v>56953208</v>
      </c>
      <c r="E40" s="376" t="s">
        <v>195</v>
      </c>
      <c r="F40" s="451"/>
      <c r="G40" s="398">
        <v>1418178</v>
      </c>
      <c r="H40" s="378">
        <v>236.6131</v>
      </c>
      <c r="I40" s="379">
        <f t="shared" si="0"/>
        <v>5993.6580011842116</v>
      </c>
    </row>
    <row r="41" spans="2:12" ht="30" customHeight="1" thickBot="1" x14ac:dyDescent="0.25">
      <c r="B41" s="460">
        <v>149</v>
      </c>
      <c r="C41" s="461" t="s">
        <v>220</v>
      </c>
      <c r="D41" s="462">
        <v>56953210</v>
      </c>
      <c r="E41" s="463" t="s">
        <v>195</v>
      </c>
      <c r="F41" s="451"/>
      <c r="G41" s="464">
        <v>68780</v>
      </c>
      <c r="H41" s="383">
        <v>236.6131</v>
      </c>
      <c r="I41" s="384">
        <f t="shared" si="0"/>
        <v>290.68551149534829</v>
      </c>
    </row>
    <row r="42" spans="2:12" ht="30" customHeight="1" thickBot="1" x14ac:dyDescent="0.25">
      <c r="B42" s="532" t="s">
        <v>142</v>
      </c>
      <c r="C42" s="533"/>
      <c r="D42" s="533"/>
      <c r="E42" s="534"/>
      <c r="F42" s="316"/>
      <c r="G42" s="399">
        <f>+SUM(G12:G41)</f>
        <v>46465693</v>
      </c>
      <c r="H42" s="400"/>
      <c r="I42" s="401">
        <f>+SUM(I12:I41)</f>
        <v>196378.36197573165</v>
      </c>
    </row>
    <row r="43" spans="2:12" ht="30" customHeight="1" thickBot="1" x14ac:dyDescent="0.25">
      <c r="B43" s="522" t="s">
        <v>221</v>
      </c>
      <c r="C43" s="523"/>
      <c r="D43" s="523"/>
      <c r="E43" s="524"/>
      <c r="F43" s="250"/>
      <c r="G43" s="402">
        <f>+G7-G42</f>
        <v>1638434854</v>
      </c>
      <c r="H43" s="403"/>
      <c r="I43" s="404">
        <f>+I7-I42</f>
        <v>6007512.4880242683</v>
      </c>
    </row>
    <row r="44" spans="2:12" x14ac:dyDescent="0.2">
      <c r="B44" s="525"/>
      <c r="C44" s="525"/>
      <c r="D44" s="525"/>
      <c r="E44" s="525"/>
      <c r="F44" s="249"/>
      <c r="G44" s="251"/>
      <c r="H44" s="252"/>
      <c r="I44" s="253"/>
      <c r="J44" s="339"/>
    </row>
    <row r="45" spans="2:12" x14ac:dyDescent="0.2">
      <c r="B45" s="254"/>
      <c r="C45" s="254"/>
      <c r="D45" s="254"/>
      <c r="E45" s="254"/>
      <c r="F45" s="254"/>
      <c r="G45" s="465"/>
      <c r="H45" s="254"/>
      <c r="I45" s="255"/>
      <c r="J45" s="339"/>
      <c r="L45" s="340"/>
    </row>
    <row r="46" spans="2:12" x14ac:dyDescent="0.2">
      <c r="G46" s="395"/>
      <c r="J46" s="339"/>
      <c r="L46" s="340"/>
    </row>
  </sheetData>
  <mergeCells count="8">
    <mergeCell ref="B43:E43"/>
    <mergeCell ref="B44:E44"/>
    <mergeCell ref="B1:I1"/>
    <mergeCell ref="B2:I2"/>
    <mergeCell ref="B3:I3"/>
    <mergeCell ref="B4:I4"/>
    <mergeCell ref="B7:E7"/>
    <mergeCell ref="B42:E42"/>
  </mergeCells>
  <pageMargins left="0.7" right="0.7" top="0.75" bottom="0.75" header="0.3" footer="0.3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48"/>
  <sheetViews>
    <sheetView topLeftCell="A37" workbookViewId="0">
      <selection activeCell="I45" sqref="I45"/>
    </sheetView>
  </sheetViews>
  <sheetFormatPr defaultColWidth="9.140625" defaultRowHeight="12.75" x14ac:dyDescent="0.2"/>
  <cols>
    <col min="1" max="1" width="6.85546875" style="1" customWidth="1"/>
    <col min="2" max="2" width="9.140625" style="1"/>
    <col min="3" max="3" width="54" style="1" bestFit="1" customWidth="1"/>
    <col min="4" max="4" width="10.140625" style="1" bestFit="1" customWidth="1"/>
    <col min="5" max="5" width="10.5703125" style="1" bestFit="1" customWidth="1"/>
    <col min="6" max="6" width="2.7109375" style="1" customWidth="1"/>
    <col min="7" max="7" width="20.42578125" style="1" bestFit="1" customWidth="1"/>
    <col min="8" max="8" width="9.7109375" style="1" bestFit="1" customWidth="1"/>
    <col min="9" max="9" width="15.28515625" style="1" bestFit="1" customWidth="1"/>
    <col min="10" max="10" width="16.5703125" style="1" bestFit="1" customWidth="1"/>
    <col min="11" max="11" width="12.28515625" style="1" bestFit="1" customWidth="1"/>
    <col min="12" max="16384" width="9.140625" style="1"/>
  </cols>
  <sheetData>
    <row r="1" spans="2:9" ht="20.100000000000001" customHeight="1" thickBot="1" x14ac:dyDescent="0.25">
      <c r="B1" s="541" t="s">
        <v>112</v>
      </c>
      <c r="C1" s="541"/>
      <c r="D1" s="541"/>
      <c r="E1" s="541"/>
      <c r="F1" s="541"/>
      <c r="G1" s="541"/>
      <c r="H1" s="541"/>
      <c r="I1" s="541"/>
    </row>
    <row r="2" spans="2:9" ht="20.100000000000001" customHeight="1" thickBot="1" x14ac:dyDescent="0.25">
      <c r="B2" s="527" t="s">
        <v>121</v>
      </c>
      <c r="C2" s="527"/>
      <c r="D2" s="527"/>
      <c r="E2" s="527"/>
      <c r="F2" s="527"/>
      <c r="G2" s="527"/>
      <c r="H2" s="527"/>
      <c r="I2" s="527"/>
    </row>
    <row r="3" spans="2:9" ht="20.100000000000001" customHeight="1" thickBot="1" x14ac:dyDescent="0.25">
      <c r="B3" s="527" t="s">
        <v>141</v>
      </c>
      <c r="C3" s="527"/>
      <c r="D3" s="527"/>
      <c r="E3" s="527"/>
      <c r="F3" s="527"/>
      <c r="G3" s="527"/>
      <c r="H3" s="527"/>
      <c r="I3" s="527"/>
    </row>
    <row r="4" spans="2:9" ht="20.100000000000001" customHeight="1" thickBot="1" x14ac:dyDescent="0.25">
      <c r="B4" s="527" t="s">
        <v>189</v>
      </c>
      <c r="C4" s="527"/>
      <c r="D4" s="527"/>
      <c r="E4" s="527"/>
      <c r="F4" s="527"/>
      <c r="G4" s="527"/>
      <c r="H4" s="527"/>
      <c r="I4" s="527"/>
    </row>
    <row r="5" spans="2:9" x14ac:dyDescent="0.2">
      <c r="B5" s="240"/>
      <c r="C5" s="240"/>
      <c r="D5" s="240"/>
      <c r="E5" s="240"/>
      <c r="F5" s="240"/>
      <c r="G5" s="240"/>
      <c r="H5" s="240"/>
      <c r="I5" s="240"/>
    </row>
    <row r="6" spans="2:9" ht="13.5" thickBot="1" x14ac:dyDescent="0.25">
      <c r="B6" s="241"/>
      <c r="C6" s="241"/>
      <c r="D6" s="241"/>
      <c r="E6" s="241"/>
      <c r="F6" s="241"/>
      <c r="G6" s="241"/>
      <c r="H6" s="241"/>
      <c r="I6" s="242"/>
    </row>
    <row r="7" spans="2:9" ht="13.5" thickBot="1" x14ac:dyDescent="0.25">
      <c r="B7" s="529" t="s">
        <v>190</v>
      </c>
      <c r="C7" s="530"/>
      <c r="D7" s="530"/>
      <c r="E7" s="531"/>
      <c r="F7" s="314"/>
      <c r="G7" s="315">
        <v>2420014917</v>
      </c>
      <c r="H7" s="241"/>
      <c r="I7" s="243">
        <v>8968783.0800000001</v>
      </c>
    </row>
    <row r="8" spans="2:9" x14ac:dyDescent="0.2">
      <c r="B8" s="241"/>
      <c r="C8" s="244"/>
      <c r="D8" s="244"/>
      <c r="E8" s="244"/>
      <c r="F8" s="244"/>
      <c r="G8" s="244"/>
      <c r="H8" s="244" t="s">
        <v>113</v>
      </c>
      <c r="I8" s="245" t="s">
        <v>114</v>
      </c>
    </row>
    <row r="9" spans="2:9" ht="30" customHeight="1" x14ac:dyDescent="0.2">
      <c r="B9" s="244" t="s">
        <v>115</v>
      </c>
      <c r="C9" s="244" t="s">
        <v>116</v>
      </c>
      <c r="D9" s="244"/>
      <c r="E9" s="246"/>
      <c r="F9" s="246"/>
      <c r="G9" s="241"/>
      <c r="H9" s="241"/>
      <c r="I9" s="242"/>
    </row>
    <row r="10" spans="2:9" ht="13.5" thickBot="1" x14ac:dyDescent="0.25">
      <c r="B10" s="244"/>
      <c r="C10" s="244"/>
      <c r="D10" s="244"/>
      <c r="E10" s="244"/>
      <c r="F10" s="244"/>
      <c r="G10" s="244"/>
      <c r="H10" s="244"/>
      <c r="I10" s="247"/>
    </row>
    <row r="11" spans="2:9" ht="26.25" thickBot="1" x14ac:dyDescent="0.25">
      <c r="B11" s="445" t="s">
        <v>117</v>
      </c>
      <c r="C11" s="446" t="s">
        <v>2</v>
      </c>
      <c r="D11" s="448" t="s">
        <v>118</v>
      </c>
      <c r="E11" s="448" t="s">
        <v>122</v>
      </c>
      <c r="F11" s="248"/>
      <c r="G11" s="445" t="s">
        <v>119</v>
      </c>
      <c r="H11" s="447" t="s">
        <v>120</v>
      </c>
      <c r="I11" s="448" t="s">
        <v>81</v>
      </c>
    </row>
    <row r="12" spans="2:9" ht="30" customHeight="1" x14ac:dyDescent="0.2">
      <c r="B12" s="373">
        <v>99</v>
      </c>
      <c r="C12" s="374" t="s">
        <v>222</v>
      </c>
      <c r="D12" s="375">
        <v>62269063</v>
      </c>
      <c r="E12" s="376" t="s">
        <v>223</v>
      </c>
      <c r="F12" s="333"/>
      <c r="G12" s="377">
        <v>1274550</v>
      </c>
      <c r="H12" s="466">
        <v>236.6131</v>
      </c>
      <c r="I12" s="467">
        <f>G12/H12</f>
        <v>5386.6417370804911</v>
      </c>
    </row>
    <row r="13" spans="2:9" ht="30" customHeight="1" x14ac:dyDescent="0.2">
      <c r="B13" s="373">
        <v>130</v>
      </c>
      <c r="C13" s="456" t="s">
        <v>193</v>
      </c>
      <c r="D13" s="375">
        <v>62269101</v>
      </c>
      <c r="E13" s="376">
        <v>45602</v>
      </c>
      <c r="F13" s="333"/>
      <c r="G13" s="377">
        <v>56768</v>
      </c>
      <c r="H13" s="378">
        <v>236.6131</v>
      </c>
      <c r="I13" s="467">
        <f>G13/H13</f>
        <v>239.91909154649511</v>
      </c>
    </row>
    <row r="14" spans="2:9" ht="30" customHeight="1" x14ac:dyDescent="0.2">
      <c r="B14" s="373">
        <v>135</v>
      </c>
      <c r="C14" s="374" t="s">
        <v>215</v>
      </c>
      <c r="D14" s="375">
        <v>62269106</v>
      </c>
      <c r="E14" s="376" t="s">
        <v>224</v>
      </c>
      <c r="F14" s="333"/>
      <c r="G14" s="377">
        <v>33859</v>
      </c>
      <c r="H14" s="378">
        <v>236.6131</v>
      </c>
      <c r="I14" s="379">
        <f t="shared" ref="I14:I39" si="0">G14/H14</f>
        <v>143.09858583485021</v>
      </c>
    </row>
    <row r="15" spans="2:9" ht="30" customHeight="1" x14ac:dyDescent="0.2">
      <c r="B15" s="373">
        <v>140</v>
      </c>
      <c r="C15" s="374" t="s">
        <v>194</v>
      </c>
      <c r="D15" s="375">
        <v>62269111</v>
      </c>
      <c r="E15" s="376" t="s">
        <v>225</v>
      </c>
      <c r="F15" s="333"/>
      <c r="G15" s="377">
        <v>603903</v>
      </c>
      <c r="H15" s="378">
        <v>236.6131</v>
      </c>
      <c r="I15" s="379">
        <f t="shared" si="0"/>
        <v>2552.2804950359891</v>
      </c>
    </row>
    <row r="16" spans="2:9" ht="30" customHeight="1" x14ac:dyDescent="0.2">
      <c r="B16" s="373">
        <v>140</v>
      </c>
      <c r="C16" s="374" t="s">
        <v>196</v>
      </c>
      <c r="D16" s="375">
        <v>62269112</v>
      </c>
      <c r="E16" s="376" t="s">
        <v>225</v>
      </c>
      <c r="F16" s="333"/>
      <c r="G16" s="377">
        <v>344597</v>
      </c>
      <c r="H16" s="378">
        <v>236.6131</v>
      </c>
      <c r="I16" s="379">
        <f t="shared" si="0"/>
        <v>1456.3732946316159</v>
      </c>
    </row>
    <row r="17" spans="2:9" ht="30" customHeight="1" x14ac:dyDescent="0.2">
      <c r="B17" s="373">
        <v>140</v>
      </c>
      <c r="C17" s="374" t="s">
        <v>197</v>
      </c>
      <c r="D17" s="375">
        <v>62269113</v>
      </c>
      <c r="E17" s="376" t="s">
        <v>225</v>
      </c>
      <c r="F17" s="333"/>
      <c r="G17" s="377">
        <v>220471</v>
      </c>
      <c r="H17" s="378">
        <v>236.6131</v>
      </c>
      <c r="I17" s="379">
        <f t="shared" si="0"/>
        <v>931.77850254275859</v>
      </c>
    </row>
    <row r="18" spans="2:9" ht="30" customHeight="1" x14ac:dyDescent="0.2">
      <c r="B18" s="373">
        <v>141</v>
      </c>
      <c r="C18" s="374" t="s">
        <v>198</v>
      </c>
      <c r="D18" s="375">
        <v>62269114</v>
      </c>
      <c r="E18" s="376" t="s">
        <v>225</v>
      </c>
      <c r="F18" s="333"/>
      <c r="G18" s="377">
        <v>82176</v>
      </c>
      <c r="H18" s="378">
        <v>236.6131</v>
      </c>
      <c r="I18" s="379">
        <f>G18/H18</f>
        <v>347.30114266707972</v>
      </c>
    </row>
    <row r="19" spans="2:9" ht="30" customHeight="1" x14ac:dyDescent="0.2">
      <c r="B19" s="373">
        <v>141</v>
      </c>
      <c r="C19" s="374" t="s">
        <v>199</v>
      </c>
      <c r="D19" s="375">
        <v>62269115</v>
      </c>
      <c r="E19" s="376" t="s">
        <v>225</v>
      </c>
      <c r="F19" s="333"/>
      <c r="G19" s="377">
        <v>137443</v>
      </c>
      <c r="H19" s="378">
        <v>236.6131</v>
      </c>
      <c r="I19" s="379">
        <f>G19/H19</f>
        <v>580.87654487431166</v>
      </c>
    </row>
    <row r="20" spans="2:9" ht="30" customHeight="1" x14ac:dyDescent="0.2">
      <c r="B20" s="373">
        <v>141</v>
      </c>
      <c r="C20" s="374" t="s">
        <v>200</v>
      </c>
      <c r="D20" s="375">
        <v>62269116</v>
      </c>
      <c r="E20" s="376" t="s">
        <v>225</v>
      </c>
      <c r="F20" s="333"/>
      <c r="G20" s="377">
        <v>130500</v>
      </c>
      <c r="H20" s="378">
        <v>236.6131</v>
      </c>
      <c r="I20" s="379">
        <f t="shared" si="0"/>
        <v>551.53328366011851</v>
      </c>
    </row>
    <row r="21" spans="2:9" ht="30" customHeight="1" x14ac:dyDescent="0.2">
      <c r="B21" s="373">
        <v>141</v>
      </c>
      <c r="C21" s="374" t="s">
        <v>201</v>
      </c>
      <c r="D21" s="375">
        <v>62269117</v>
      </c>
      <c r="E21" s="376" t="s">
        <v>225</v>
      </c>
      <c r="F21" s="333"/>
      <c r="G21" s="377">
        <v>197646</v>
      </c>
      <c r="H21" s="378">
        <v>236.6131</v>
      </c>
      <c r="I21" s="379">
        <f t="shared" si="0"/>
        <v>835.31300676082594</v>
      </c>
    </row>
    <row r="22" spans="2:9" ht="30" customHeight="1" x14ac:dyDescent="0.2">
      <c r="B22" s="373">
        <v>141</v>
      </c>
      <c r="C22" s="374" t="s">
        <v>202</v>
      </c>
      <c r="D22" s="375">
        <v>62269118</v>
      </c>
      <c r="E22" s="376" t="s">
        <v>225</v>
      </c>
      <c r="F22" s="333"/>
      <c r="G22" s="377">
        <v>76269</v>
      </c>
      <c r="H22" s="378">
        <v>236.6131</v>
      </c>
      <c r="I22" s="379">
        <f t="shared" si="0"/>
        <v>322.33633725267111</v>
      </c>
    </row>
    <row r="23" spans="2:9" ht="30" customHeight="1" x14ac:dyDescent="0.2">
      <c r="B23" s="373">
        <v>141</v>
      </c>
      <c r="C23" s="374" t="s">
        <v>203</v>
      </c>
      <c r="D23" s="375">
        <v>62269119</v>
      </c>
      <c r="E23" s="376" t="s">
        <v>225</v>
      </c>
      <c r="F23" s="333"/>
      <c r="G23" s="377">
        <v>59624</v>
      </c>
      <c r="H23" s="378">
        <v>236.6131</v>
      </c>
      <c r="I23" s="379">
        <f t="shared" si="0"/>
        <v>251.98942915671194</v>
      </c>
    </row>
    <row r="24" spans="2:9" ht="30" customHeight="1" x14ac:dyDescent="0.2">
      <c r="B24" s="373">
        <v>141</v>
      </c>
      <c r="C24" s="374" t="s">
        <v>204</v>
      </c>
      <c r="D24" s="375">
        <v>62269120</v>
      </c>
      <c r="E24" s="376" t="s">
        <v>225</v>
      </c>
      <c r="F24" s="333"/>
      <c r="G24" s="377">
        <v>201840</v>
      </c>
      <c r="H24" s="378">
        <v>236.6131</v>
      </c>
      <c r="I24" s="379">
        <f t="shared" si="0"/>
        <v>853.03814539431676</v>
      </c>
    </row>
    <row r="25" spans="2:9" ht="30" customHeight="1" x14ac:dyDescent="0.2">
      <c r="B25" s="373">
        <v>141</v>
      </c>
      <c r="C25" s="374" t="s">
        <v>205</v>
      </c>
      <c r="D25" s="375">
        <v>62269121</v>
      </c>
      <c r="E25" s="376" t="s">
        <v>225</v>
      </c>
      <c r="F25" s="333"/>
      <c r="G25" s="377">
        <v>121104</v>
      </c>
      <c r="H25" s="378">
        <v>236.6131</v>
      </c>
      <c r="I25" s="379">
        <f t="shared" si="0"/>
        <v>511.82288723659002</v>
      </c>
    </row>
    <row r="26" spans="2:9" ht="30" customHeight="1" x14ac:dyDescent="0.2">
      <c r="B26" s="373">
        <v>141</v>
      </c>
      <c r="C26" s="374" t="s">
        <v>206</v>
      </c>
      <c r="D26" s="375">
        <v>62269122</v>
      </c>
      <c r="E26" s="376" t="s">
        <v>225</v>
      </c>
      <c r="F26" s="333"/>
      <c r="G26" s="377">
        <v>88305</v>
      </c>
      <c r="H26" s="378">
        <v>236.6131</v>
      </c>
      <c r="I26" s="379">
        <f t="shared" si="0"/>
        <v>373.20418861001355</v>
      </c>
    </row>
    <row r="27" spans="2:9" ht="30" customHeight="1" x14ac:dyDescent="0.2">
      <c r="B27" s="373">
        <v>142</v>
      </c>
      <c r="C27" s="374" t="s">
        <v>226</v>
      </c>
      <c r="D27" s="375">
        <v>62269123</v>
      </c>
      <c r="E27" s="376" t="s">
        <v>225</v>
      </c>
      <c r="F27" s="333"/>
      <c r="G27" s="377">
        <v>294908</v>
      </c>
      <c r="H27" s="378">
        <v>236.6131</v>
      </c>
      <c r="I27" s="379">
        <f t="shared" si="0"/>
        <v>1246.3722422807527</v>
      </c>
    </row>
    <row r="28" spans="2:9" ht="30" customHeight="1" x14ac:dyDescent="0.2">
      <c r="B28" s="373">
        <v>143</v>
      </c>
      <c r="C28" s="374" t="s">
        <v>210</v>
      </c>
      <c r="D28" s="375">
        <v>62269124</v>
      </c>
      <c r="E28" s="376" t="s">
        <v>225</v>
      </c>
      <c r="F28" s="333"/>
      <c r="G28" s="377">
        <v>15250418</v>
      </c>
      <c r="H28" s="378">
        <v>236.6131</v>
      </c>
      <c r="I28" s="379">
        <f t="shared" si="0"/>
        <v>64452.974074554622</v>
      </c>
    </row>
    <row r="29" spans="2:9" ht="30" customHeight="1" x14ac:dyDescent="0.2">
      <c r="B29" s="373">
        <v>144</v>
      </c>
      <c r="C29" s="374" t="s">
        <v>211</v>
      </c>
      <c r="D29" s="375">
        <v>62269125</v>
      </c>
      <c r="E29" s="376" t="s">
        <v>225</v>
      </c>
      <c r="F29" s="333"/>
      <c r="G29" s="377">
        <v>12772425</v>
      </c>
      <c r="H29" s="378">
        <v>236.6131</v>
      </c>
      <c r="I29" s="379">
        <f t="shared" si="0"/>
        <v>53980.210732203755</v>
      </c>
    </row>
    <row r="30" spans="2:9" ht="30" customHeight="1" x14ac:dyDescent="0.2">
      <c r="B30" s="373">
        <v>145</v>
      </c>
      <c r="C30" s="374" t="s">
        <v>212</v>
      </c>
      <c r="D30" s="375">
        <v>62269126</v>
      </c>
      <c r="E30" s="376" t="s">
        <v>225</v>
      </c>
      <c r="F30" s="333"/>
      <c r="G30" s="377">
        <v>5736498</v>
      </c>
      <c r="H30" s="378">
        <v>236.6131</v>
      </c>
      <c r="I30" s="379">
        <f t="shared" si="0"/>
        <v>24244.211330649065</v>
      </c>
    </row>
    <row r="31" spans="2:9" ht="30" customHeight="1" x14ac:dyDescent="0.2">
      <c r="B31" s="468">
        <v>146</v>
      </c>
      <c r="C31" s="374" t="s">
        <v>212</v>
      </c>
      <c r="D31" s="375">
        <v>62269127</v>
      </c>
      <c r="E31" s="376" t="s">
        <v>225</v>
      </c>
      <c r="F31" s="333"/>
      <c r="G31" s="469">
        <v>5392491</v>
      </c>
      <c r="H31" s="378">
        <v>236.6131</v>
      </c>
      <c r="I31" s="379">
        <f t="shared" si="0"/>
        <v>22790.331558142807</v>
      </c>
    </row>
    <row r="32" spans="2:9" ht="30" customHeight="1" x14ac:dyDescent="0.2">
      <c r="B32" s="468">
        <v>147</v>
      </c>
      <c r="C32" s="374" t="s">
        <v>212</v>
      </c>
      <c r="D32" s="375">
        <v>62269128</v>
      </c>
      <c r="E32" s="376" t="s">
        <v>225</v>
      </c>
      <c r="F32" s="333"/>
      <c r="G32" s="469">
        <v>12403624</v>
      </c>
      <c r="H32" s="378">
        <v>236.6131</v>
      </c>
      <c r="I32" s="379">
        <f t="shared" si="0"/>
        <v>52421.543862110761</v>
      </c>
    </row>
    <row r="33" spans="2:11" ht="30" customHeight="1" x14ac:dyDescent="0.2">
      <c r="B33" s="468">
        <v>148</v>
      </c>
      <c r="C33" s="470" t="s">
        <v>227</v>
      </c>
      <c r="D33" s="375">
        <v>62269129</v>
      </c>
      <c r="E33" s="376" t="s">
        <v>225</v>
      </c>
      <c r="F33" s="333"/>
      <c r="G33" s="469">
        <v>83190</v>
      </c>
      <c r="H33" s="378">
        <v>236.6131</v>
      </c>
      <c r="I33" s="379">
        <f t="shared" si="0"/>
        <v>351.58661967574915</v>
      </c>
    </row>
    <row r="34" spans="2:11" ht="30" customHeight="1" x14ac:dyDescent="0.2">
      <c r="B34" s="468">
        <v>149</v>
      </c>
      <c r="C34" s="470" t="s">
        <v>228</v>
      </c>
      <c r="D34" s="375">
        <v>62269130</v>
      </c>
      <c r="E34" s="376" t="s">
        <v>225</v>
      </c>
      <c r="F34" s="333"/>
      <c r="G34" s="469">
        <v>17920</v>
      </c>
      <c r="H34" s="378">
        <v>236.6131</v>
      </c>
      <c r="I34" s="379">
        <f t="shared" si="0"/>
        <v>75.735451671948852</v>
      </c>
    </row>
    <row r="35" spans="2:11" ht="30" customHeight="1" x14ac:dyDescent="0.2">
      <c r="B35" s="468">
        <v>150</v>
      </c>
      <c r="C35" s="470" t="s">
        <v>215</v>
      </c>
      <c r="D35" s="375">
        <v>62269131</v>
      </c>
      <c r="E35" s="376" t="s">
        <v>225</v>
      </c>
      <c r="F35" s="333"/>
      <c r="G35" s="469">
        <v>173198</v>
      </c>
      <c r="H35" s="378">
        <v>236.6131</v>
      </c>
      <c r="I35" s="379">
        <f t="shared" si="0"/>
        <v>731.9882119798101</v>
      </c>
    </row>
    <row r="36" spans="2:11" ht="30" customHeight="1" x14ac:dyDescent="0.2">
      <c r="B36" s="468">
        <v>151</v>
      </c>
      <c r="C36" s="374" t="s">
        <v>216</v>
      </c>
      <c r="D36" s="375">
        <v>62269132</v>
      </c>
      <c r="E36" s="376" t="s">
        <v>225</v>
      </c>
      <c r="F36" s="333"/>
      <c r="G36" s="469">
        <v>1603708</v>
      </c>
      <c r="H36" s="378">
        <v>236.6131</v>
      </c>
      <c r="I36" s="379">
        <f t="shared" si="0"/>
        <v>6777.7650518927312</v>
      </c>
    </row>
    <row r="37" spans="2:11" ht="30" customHeight="1" x14ac:dyDescent="0.2">
      <c r="B37" s="468">
        <v>152</v>
      </c>
      <c r="C37" s="374" t="s">
        <v>217</v>
      </c>
      <c r="D37" s="375">
        <v>62269133</v>
      </c>
      <c r="E37" s="376" t="s">
        <v>225</v>
      </c>
      <c r="F37" s="333"/>
      <c r="G37" s="469">
        <v>655110</v>
      </c>
      <c r="H37" s="378">
        <v>236.6131</v>
      </c>
      <c r="I37" s="379">
        <f t="shared" si="0"/>
        <v>2768.6970839737951</v>
      </c>
    </row>
    <row r="38" spans="2:11" ht="30" customHeight="1" x14ac:dyDescent="0.2">
      <c r="B38" s="468">
        <v>153</v>
      </c>
      <c r="C38" s="374" t="s">
        <v>218</v>
      </c>
      <c r="D38" s="375">
        <v>62269134</v>
      </c>
      <c r="E38" s="376" t="s">
        <v>225</v>
      </c>
      <c r="F38" s="333"/>
      <c r="G38" s="469">
        <v>3859663</v>
      </c>
      <c r="H38" s="378">
        <v>236.6131</v>
      </c>
      <c r="I38" s="379">
        <f t="shared" si="0"/>
        <v>16312.127265988231</v>
      </c>
    </row>
    <row r="39" spans="2:11" ht="30" customHeight="1" x14ac:dyDescent="0.2">
      <c r="B39" s="468">
        <v>157</v>
      </c>
      <c r="C39" s="470" t="s">
        <v>229</v>
      </c>
      <c r="D39" s="375">
        <v>62269138</v>
      </c>
      <c r="E39" s="376" t="s">
        <v>225</v>
      </c>
      <c r="F39" s="333"/>
      <c r="G39" s="469">
        <v>94801</v>
      </c>
      <c r="H39" s="378">
        <v>236.6131</v>
      </c>
      <c r="I39" s="379">
        <f t="shared" si="0"/>
        <v>400.65828984109504</v>
      </c>
    </row>
    <row r="40" spans="2:11" ht="30" customHeight="1" thickBot="1" x14ac:dyDescent="0.25">
      <c r="B40" s="380"/>
      <c r="C40" s="381"/>
      <c r="D40" s="381"/>
      <c r="E40" s="382"/>
      <c r="G40" s="380"/>
      <c r="H40" s="383"/>
      <c r="I40" s="384"/>
    </row>
    <row r="41" spans="2:11" ht="30" customHeight="1" thickBot="1" x14ac:dyDescent="0.25">
      <c r="B41" s="385"/>
      <c r="C41" s="386"/>
      <c r="D41" s="387"/>
      <c r="E41" s="388"/>
      <c r="F41" s="333"/>
      <c r="G41" s="389"/>
      <c r="H41" s="390"/>
      <c r="I41" s="391"/>
    </row>
    <row r="42" spans="2:11" ht="30" customHeight="1" thickBot="1" x14ac:dyDescent="0.25">
      <c r="B42" s="535" t="s">
        <v>82</v>
      </c>
      <c r="C42" s="536"/>
      <c r="D42" s="536"/>
      <c r="E42" s="537"/>
      <c r="F42" s="316"/>
      <c r="G42" s="392">
        <f>+SUM(G12:G41)</f>
        <v>61967009</v>
      </c>
      <c r="H42" s="393"/>
      <c r="I42" s="471">
        <f>+SUM(I12:I41)</f>
        <v>261891.70844724993</v>
      </c>
    </row>
    <row r="43" spans="2:11" ht="30" customHeight="1" thickBot="1" x14ac:dyDescent="0.25">
      <c r="B43" s="538" t="s">
        <v>221</v>
      </c>
      <c r="C43" s="539"/>
      <c r="D43" s="539"/>
      <c r="E43" s="540"/>
      <c r="F43" s="250"/>
      <c r="G43" s="334">
        <f>+G7-G42</f>
        <v>2358047908</v>
      </c>
      <c r="H43" s="335"/>
      <c r="I43" s="336">
        <f>+I7-I42</f>
        <v>8706891.3715527505</v>
      </c>
      <c r="J43" s="1" t="s">
        <v>0</v>
      </c>
    </row>
    <row r="44" spans="2:11" x14ac:dyDescent="0.2">
      <c r="B44" s="472"/>
      <c r="C44" s="472"/>
      <c r="D44" s="472"/>
      <c r="E44" s="472"/>
      <c r="F44" s="249"/>
      <c r="G44" s="251"/>
      <c r="H44" s="252"/>
      <c r="I44" s="253"/>
    </row>
    <row r="45" spans="2:11" x14ac:dyDescent="0.2">
      <c r="B45" s="254"/>
      <c r="C45" s="254"/>
      <c r="D45" s="254"/>
      <c r="E45" s="254"/>
      <c r="F45" s="254"/>
      <c r="G45" s="317"/>
      <c r="H45" s="254"/>
      <c r="I45" s="255">
        <f>I43+'BR A-128 Grant'!I43</f>
        <v>14714403.859577019</v>
      </c>
    </row>
    <row r="46" spans="2:11" x14ac:dyDescent="0.2">
      <c r="G46" s="337"/>
      <c r="I46" s="337"/>
      <c r="J46" s="337"/>
    </row>
    <row r="47" spans="2:11" x14ac:dyDescent="0.2">
      <c r="G47" s="66"/>
      <c r="I47" s="66"/>
      <c r="J47" s="337"/>
      <c r="K47" s="338"/>
    </row>
    <row r="48" spans="2:11" x14ac:dyDescent="0.2">
      <c r="G48" s="473"/>
      <c r="I48" s="394"/>
      <c r="J48" s="337"/>
    </row>
  </sheetData>
  <mergeCells count="7">
    <mergeCell ref="B42:E42"/>
    <mergeCell ref="B43:E43"/>
    <mergeCell ref="B1:I1"/>
    <mergeCell ref="B2:I2"/>
    <mergeCell ref="B3:I3"/>
    <mergeCell ref="B4:I4"/>
    <mergeCell ref="B7:E7"/>
  </mergeCell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85"/>
  <sheetViews>
    <sheetView zoomScale="85" zoomScaleNormal="85" workbookViewId="0">
      <selection activeCell="C8" sqref="C8"/>
    </sheetView>
  </sheetViews>
  <sheetFormatPr defaultColWidth="9.140625" defaultRowHeight="15" x14ac:dyDescent="0.2"/>
  <cols>
    <col min="1" max="1" width="4.140625" style="363" customWidth="1"/>
    <col min="2" max="2" width="78.5703125" style="325" customWidth="1"/>
    <col min="3" max="3" width="18.140625" style="325" bestFit="1" customWidth="1"/>
    <col min="4" max="4" width="18" style="325" bestFit="1" customWidth="1"/>
    <col min="5" max="5" width="17.42578125" style="325" bestFit="1" customWidth="1"/>
    <col min="6" max="6" width="14.42578125" style="325" bestFit="1" customWidth="1"/>
    <col min="7" max="7" width="9.140625" style="363"/>
    <col min="8" max="8" width="11.28515625" style="363" bestFit="1" customWidth="1"/>
    <col min="9" max="16384" width="9.140625" style="363"/>
  </cols>
  <sheetData>
    <row r="1" spans="2:6" ht="16.5" thickBot="1" x14ac:dyDescent="0.3">
      <c r="B1" s="558"/>
      <c r="C1" s="558"/>
      <c r="D1" s="558"/>
      <c r="E1" s="558"/>
      <c r="F1" s="558"/>
    </row>
    <row r="2" spans="2:6" ht="15.75" x14ac:dyDescent="0.25">
      <c r="B2" s="559" t="s">
        <v>102</v>
      </c>
      <c r="C2" s="560"/>
      <c r="D2" s="560"/>
      <c r="E2" s="560"/>
      <c r="F2" s="561"/>
    </row>
    <row r="3" spans="2:6" ht="15.75" x14ac:dyDescent="0.25">
      <c r="B3" s="562" t="s">
        <v>109</v>
      </c>
      <c r="C3" s="563"/>
      <c r="D3" s="563"/>
      <c r="E3" s="563"/>
      <c r="F3" s="564"/>
    </row>
    <row r="4" spans="2:6" ht="15.75" x14ac:dyDescent="0.25">
      <c r="B4" s="562" t="s">
        <v>103</v>
      </c>
      <c r="C4" s="563"/>
      <c r="D4" s="563"/>
      <c r="E4" s="563"/>
      <c r="F4" s="564"/>
    </row>
    <row r="5" spans="2:6" ht="15.75" x14ac:dyDescent="0.25">
      <c r="B5" s="565" t="s">
        <v>104</v>
      </c>
      <c r="C5" s="566"/>
      <c r="D5" s="566"/>
      <c r="E5" s="566"/>
      <c r="F5" s="567"/>
    </row>
    <row r="6" spans="2:6" ht="16.5" thickBot="1" x14ac:dyDescent="0.3">
      <c r="B6" s="555" t="s">
        <v>186</v>
      </c>
      <c r="C6" s="556"/>
      <c r="D6" s="556"/>
      <c r="E6" s="556"/>
      <c r="F6" s="557"/>
    </row>
    <row r="7" spans="2:6" ht="15.75" x14ac:dyDescent="0.2">
      <c r="B7" s="568" t="s">
        <v>2</v>
      </c>
      <c r="C7" s="545" t="s">
        <v>31</v>
      </c>
      <c r="D7" s="545"/>
      <c r="E7" s="545" t="s">
        <v>171</v>
      </c>
      <c r="F7" s="546"/>
    </row>
    <row r="8" spans="2:6" ht="32.25" thickBot="1" x14ac:dyDescent="0.25">
      <c r="B8" s="543"/>
      <c r="C8" s="352" t="s">
        <v>183</v>
      </c>
      <c r="D8" s="352" t="s">
        <v>184</v>
      </c>
      <c r="E8" s="547"/>
      <c r="F8" s="548"/>
    </row>
    <row r="9" spans="2:6" ht="31.5" x14ac:dyDescent="0.2">
      <c r="B9" s="353" t="s">
        <v>161</v>
      </c>
      <c r="C9" s="354" t="s">
        <v>3</v>
      </c>
      <c r="D9" s="354" t="s">
        <v>3</v>
      </c>
      <c r="E9" s="354" t="s">
        <v>3</v>
      </c>
      <c r="F9" s="355" t="s">
        <v>32</v>
      </c>
    </row>
    <row r="10" spans="2:6" ht="15.75" x14ac:dyDescent="0.2">
      <c r="B10" s="358"/>
      <c r="C10" s="346"/>
      <c r="D10" s="346"/>
      <c r="E10" s="346"/>
      <c r="F10" s="364"/>
    </row>
    <row r="11" spans="2:6" ht="15.75" x14ac:dyDescent="0.2">
      <c r="B11" s="356" t="s">
        <v>105</v>
      </c>
      <c r="C11" s="349">
        <f>(1425000000+1005000)*22%</f>
        <v>313721100</v>
      </c>
      <c r="D11" s="349">
        <f>(500000+1000000+1000000+1995000+1000000000+400000000+142500000)*22%</f>
        <v>340338900</v>
      </c>
      <c r="E11" s="349">
        <f>SUM(C11:D11)</f>
        <v>654060000</v>
      </c>
      <c r="F11" s="324">
        <f t="shared" ref="F11:F16" si="0">E11/285</f>
        <v>2294947.3684210526</v>
      </c>
    </row>
    <row r="12" spans="2:6" ht="15.75" x14ac:dyDescent="0.2">
      <c r="B12" s="356" t="s">
        <v>80</v>
      </c>
      <c r="C12" s="349">
        <f>(142500000)*22%</f>
        <v>31350000</v>
      </c>
      <c r="D12" s="349">
        <f>(1316260000+228000000+142500000)*22%</f>
        <v>371087200</v>
      </c>
      <c r="E12" s="349">
        <f>SUM(C12:D12)</f>
        <v>402437200</v>
      </c>
      <c r="F12" s="324">
        <f t="shared" si="0"/>
        <v>1412060.350877193</v>
      </c>
    </row>
    <row r="13" spans="2:6" ht="15.75" x14ac:dyDescent="0.2">
      <c r="B13" s="356" t="s">
        <v>38</v>
      </c>
      <c r="C13" s="350">
        <f>(117000000)*22%</f>
        <v>25740000</v>
      </c>
      <c r="D13" s="350">
        <f>(175500000+245000000)*22%</f>
        <v>92510000</v>
      </c>
      <c r="E13" s="349">
        <f t="shared" ref="E13:E16" si="1">SUM(C13:D13)</f>
        <v>118250000</v>
      </c>
      <c r="F13" s="324">
        <f t="shared" si="0"/>
        <v>414912.28070175438</v>
      </c>
    </row>
    <row r="14" spans="2:6" ht="15.75" x14ac:dyDescent="0.2">
      <c r="B14" s="356" t="s">
        <v>39</v>
      </c>
      <c r="C14" s="350">
        <f>(45000000+57000000+100000000+68400000+5112900+23856000+16038364)*22%</f>
        <v>69389598.079999998</v>
      </c>
      <c r="D14" s="350">
        <f>(60000000+188034000+171000000+570000000+100000000+216600000+3408600+15904000+16038364)*22%</f>
        <v>295016692.07999998</v>
      </c>
      <c r="E14" s="349">
        <f t="shared" si="1"/>
        <v>364406290.15999997</v>
      </c>
      <c r="F14" s="324">
        <f t="shared" si="0"/>
        <v>1278618.5619649121</v>
      </c>
    </row>
    <row r="15" spans="2:6" ht="15.75" x14ac:dyDescent="0.2">
      <c r="B15" s="356" t="s">
        <v>57</v>
      </c>
      <c r="C15" s="350">
        <f>(1175000)*22%</f>
        <v>258500</v>
      </c>
      <c r="D15" s="350">
        <f>(1175000)*22%</f>
        <v>258500</v>
      </c>
      <c r="E15" s="349">
        <f t="shared" si="1"/>
        <v>517000</v>
      </c>
      <c r="F15" s="324">
        <f t="shared" si="0"/>
        <v>1814.0350877192982</v>
      </c>
    </row>
    <row r="16" spans="2:6" ht="15.75" x14ac:dyDescent="0.2">
      <c r="B16" s="356" t="s">
        <v>106</v>
      </c>
      <c r="C16" s="350">
        <f>(11526000+15975000)*22%</f>
        <v>6050220</v>
      </c>
      <c r="D16" s="350">
        <f>(11526000+15975000)*22%</f>
        <v>6050220</v>
      </c>
      <c r="E16" s="349">
        <f t="shared" si="1"/>
        <v>12100440</v>
      </c>
      <c r="F16" s="324">
        <f t="shared" si="0"/>
        <v>42457.684210526313</v>
      </c>
    </row>
    <row r="17" spans="2:6" ht="15.75" x14ac:dyDescent="0.25">
      <c r="B17" s="357" t="s">
        <v>165</v>
      </c>
      <c r="C17" s="351">
        <f>SUM(C11:C16)</f>
        <v>446509418.07999998</v>
      </c>
      <c r="D17" s="351">
        <f>SUM(D11:D16)</f>
        <v>1105261512.0799999</v>
      </c>
      <c r="E17" s="351">
        <f>SUM(E11:E16)</f>
        <v>1551770930.1599998</v>
      </c>
      <c r="F17" s="365">
        <f>SUM(F11:F16)</f>
        <v>5444810.2812631587</v>
      </c>
    </row>
    <row r="18" spans="2:6" ht="15.75" x14ac:dyDescent="0.25">
      <c r="B18" s="357"/>
      <c r="C18" s="351"/>
      <c r="D18" s="351"/>
      <c r="E18" s="351"/>
      <c r="F18" s="365"/>
    </row>
    <row r="19" spans="2:6" ht="34.5" customHeight="1" x14ac:dyDescent="0.2">
      <c r="B19" s="358" t="s">
        <v>162</v>
      </c>
      <c r="C19" s="348"/>
      <c r="D19" s="348"/>
      <c r="E19" s="348"/>
      <c r="F19" s="359"/>
    </row>
    <row r="20" spans="2:6" ht="15.75" x14ac:dyDescent="0.2">
      <c r="B20" s="358"/>
      <c r="C20" s="346"/>
      <c r="D20" s="346"/>
      <c r="E20" s="346"/>
      <c r="F20" s="364"/>
    </row>
    <row r="21" spans="2:6" ht="15.75" x14ac:dyDescent="0.2">
      <c r="B21" s="356" t="s">
        <v>105</v>
      </c>
      <c r="C21" s="350">
        <v>0</v>
      </c>
      <c r="D21" s="350">
        <v>0</v>
      </c>
      <c r="E21" s="349">
        <f>SUM(C21:D21)</f>
        <v>0</v>
      </c>
      <c r="F21" s="365">
        <f t="shared" ref="F21:F26" si="2">E21/285</f>
        <v>0</v>
      </c>
    </row>
    <row r="22" spans="2:6" ht="15.75" x14ac:dyDescent="0.2">
      <c r="B22" s="356" t="s">
        <v>80</v>
      </c>
      <c r="C22" s="350">
        <v>0</v>
      </c>
      <c r="D22" s="350">
        <v>0</v>
      </c>
      <c r="E22" s="349">
        <f>SUM(C22:D22)</f>
        <v>0</v>
      </c>
      <c r="F22" s="365">
        <f t="shared" si="2"/>
        <v>0</v>
      </c>
    </row>
    <row r="23" spans="2:6" ht="15.75" x14ac:dyDescent="0.2">
      <c r="B23" s="356" t="s">
        <v>38</v>
      </c>
      <c r="C23" s="350">
        <f>(30012000)*22%</f>
        <v>6602640</v>
      </c>
      <c r="D23" s="350">
        <f>(20008000)*22%</f>
        <v>4401760</v>
      </c>
      <c r="E23" s="349">
        <f t="shared" ref="E23:E26" si="3">SUM(C23:D23)</f>
        <v>11004400</v>
      </c>
      <c r="F23" s="365">
        <f t="shared" si="2"/>
        <v>38611.929824561405</v>
      </c>
    </row>
    <row r="24" spans="2:6" ht="15.75" x14ac:dyDescent="0.2">
      <c r="B24" s="356" t="s">
        <v>39</v>
      </c>
      <c r="C24" s="350">
        <v>0</v>
      </c>
      <c r="D24" s="350">
        <v>0</v>
      </c>
      <c r="E24" s="349">
        <f t="shared" si="3"/>
        <v>0</v>
      </c>
      <c r="F24" s="365">
        <f t="shared" si="2"/>
        <v>0</v>
      </c>
    </row>
    <row r="25" spans="2:6" ht="15.75" x14ac:dyDescent="0.2">
      <c r="B25" s="356" t="s">
        <v>57</v>
      </c>
      <c r="C25" s="350">
        <v>0</v>
      </c>
      <c r="D25" s="350">
        <v>0</v>
      </c>
      <c r="E25" s="349">
        <f t="shared" si="3"/>
        <v>0</v>
      </c>
      <c r="F25" s="365">
        <f t="shared" si="2"/>
        <v>0</v>
      </c>
    </row>
    <row r="26" spans="2:6" ht="15.75" x14ac:dyDescent="0.2">
      <c r="B26" s="356" t="s">
        <v>106</v>
      </c>
      <c r="C26" s="350">
        <v>0</v>
      </c>
      <c r="D26" s="350">
        <v>0</v>
      </c>
      <c r="E26" s="349">
        <f t="shared" si="3"/>
        <v>0</v>
      </c>
      <c r="F26" s="365">
        <f t="shared" si="2"/>
        <v>0</v>
      </c>
    </row>
    <row r="27" spans="2:6" ht="15.75" x14ac:dyDescent="0.25">
      <c r="B27" s="357" t="s">
        <v>163</v>
      </c>
      <c r="C27" s="351">
        <f>SUM(C21:C26)</f>
        <v>6602640</v>
      </c>
      <c r="D27" s="351">
        <f>SUM(D21:D26)</f>
        <v>4401760</v>
      </c>
      <c r="E27" s="351">
        <f>SUM(E21:E26)</f>
        <v>11004400</v>
      </c>
      <c r="F27" s="365">
        <f>SUM(F21:F26)</f>
        <v>38611.929824561405</v>
      </c>
    </row>
    <row r="28" spans="2:6" ht="15.75" x14ac:dyDescent="0.25">
      <c r="B28" s="357"/>
      <c r="C28" s="351"/>
      <c r="D28" s="351"/>
      <c r="E28" s="351"/>
      <c r="F28" s="365"/>
    </row>
    <row r="29" spans="2:6" ht="31.5" x14ac:dyDescent="0.2">
      <c r="B29" s="358" t="s">
        <v>157</v>
      </c>
      <c r="C29" s="351"/>
      <c r="D29" s="351"/>
      <c r="E29" s="351"/>
      <c r="F29" s="365"/>
    </row>
    <row r="30" spans="2:6" ht="15.75" x14ac:dyDescent="0.2">
      <c r="B30" s="358"/>
      <c r="C30" s="351"/>
      <c r="D30" s="351"/>
      <c r="E30" s="351"/>
      <c r="F30" s="365"/>
    </row>
    <row r="31" spans="2:6" ht="15.75" x14ac:dyDescent="0.2">
      <c r="B31" s="356" t="s">
        <v>105</v>
      </c>
      <c r="C31" s="349">
        <v>0</v>
      </c>
      <c r="D31" s="349">
        <v>0</v>
      </c>
      <c r="E31" s="349">
        <f>SUM(C31:D31)</f>
        <v>0</v>
      </c>
      <c r="F31" s="365">
        <f t="shared" ref="F31:F36" si="4">E31/285</f>
        <v>0</v>
      </c>
    </row>
    <row r="32" spans="2:6" ht="15.75" x14ac:dyDescent="0.2">
      <c r="B32" s="356" t="s">
        <v>80</v>
      </c>
      <c r="C32" s="349">
        <v>0</v>
      </c>
      <c r="D32" s="349">
        <f>(456000000)*100%</f>
        <v>456000000</v>
      </c>
      <c r="E32" s="349">
        <f>SUM(C32:D32)</f>
        <v>456000000</v>
      </c>
      <c r="F32" s="365">
        <f t="shared" si="4"/>
        <v>1600000</v>
      </c>
    </row>
    <row r="33" spans="2:9" ht="15.75" x14ac:dyDescent="0.2">
      <c r="B33" s="356" t="s">
        <v>38</v>
      </c>
      <c r="C33" s="349">
        <v>0</v>
      </c>
      <c r="D33" s="349">
        <v>0</v>
      </c>
      <c r="E33" s="349">
        <f t="shared" ref="E33:E36" si="5">SUM(C33:D33)</f>
        <v>0</v>
      </c>
      <c r="F33" s="365">
        <f t="shared" si="4"/>
        <v>0</v>
      </c>
    </row>
    <row r="34" spans="2:9" ht="15.75" x14ac:dyDescent="0.2">
      <c r="B34" s="356" t="s">
        <v>39</v>
      </c>
      <c r="C34" s="349">
        <f>(4275000)*100%</f>
        <v>4275000</v>
      </c>
      <c r="D34" s="349">
        <f>(4275000)*100%</f>
        <v>4275000</v>
      </c>
      <c r="E34" s="349">
        <f t="shared" si="5"/>
        <v>8550000</v>
      </c>
      <c r="F34" s="365">
        <f t="shared" si="4"/>
        <v>30000</v>
      </c>
    </row>
    <row r="35" spans="2:9" ht="15.75" x14ac:dyDescent="0.2">
      <c r="B35" s="356" t="s">
        <v>57</v>
      </c>
      <c r="C35" s="349">
        <v>0</v>
      </c>
      <c r="D35" s="349">
        <v>0</v>
      </c>
      <c r="E35" s="349">
        <f t="shared" si="5"/>
        <v>0</v>
      </c>
      <c r="F35" s="365">
        <f t="shared" si="4"/>
        <v>0</v>
      </c>
    </row>
    <row r="36" spans="2:9" ht="15.75" x14ac:dyDescent="0.2">
      <c r="B36" s="356" t="s">
        <v>106</v>
      </c>
      <c r="C36" s="349">
        <v>0</v>
      </c>
      <c r="D36" s="349">
        <v>0</v>
      </c>
      <c r="E36" s="349">
        <f t="shared" si="5"/>
        <v>0</v>
      </c>
      <c r="F36" s="365">
        <f t="shared" si="4"/>
        <v>0</v>
      </c>
    </row>
    <row r="37" spans="2:9" ht="15.75" x14ac:dyDescent="0.25">
      <c r="B37" s="357" t="s">
        <v>164</v>
      </c>
      <c r="C37" s="351">
        <f>SUM(C31:C36)</f>
        <v>4275000</v>
      </c>
      <c r="D37" s="351">
        <f>SUM(D31:D36)</f>
        <v>460275000</v>
      </c>
      <c r="E37" s="351">
        <f>SUM(E31:E36)</f>
        <v>464550000</v>
      </c>
      <c r="F37" s="365">
        <f>SUM(F31:F36)</f>
        <v>1630000</v>
      </c>
    </row>
    <row r="38" spans="2:9" ht="15.75" x14ac:dyDescent="0.2">
      <c r="B38" s="360" t="s">
        <v>124</v>
      </c>
      <c r="C38" s="351">
        <f>C17+C27+C37</f>
        <v>457387058.07999998</v>
      </c>
      <c r="D38" s="351">
        <f>D17+D27+D37</f>
        <v>1569938272.0799999</v>
      </c>
      <c r="E38" s="351">
        <f t="shared" ref="E38:F38" si="6">E17+E27+E37</f>
        <v>2027325330.1599998</v>
      </c>
      <c r="F38" s="361">
        <f t="shared" si="6"/>
        <v>7113422.2110877205</v>
      </c>
    </row>
    <row r="39" spans="2:9" ht="16.5" thickBot="1" x14ac:dyDescent="0.25">
      <c r="B39" s="569" t="s">
        <v>107</v>
      </c>
      <c r="C39" s="570"/>
      <c r="D39" s="570"/>
      <c r="E39" s="571"/>
      <c r="F39" s="476">
        <f>'Sources &amp; Application'!H20</f>
        <v>9054826</v>
      </c>
    </row>
    <row r="40" spans="2:9" ht="16.5" thickBot="1" x14ac:dyDescent="0.25">
      <c r="B40" s="572" t="s">
        <v>185</v>
      </c>
      <c r="C40" s="573"/>
      <c r="D40" s="573"/>
      <c r="E40" s="573"/>
      <c r="F40" s="475">
        <f>F38</f>
        <v>7113422.2110877205</v>
      </c>
      <c r="I40" s="474"/>
    </row>
    <row r="41" spans="2:9" ht="15.75" thickBot="1" x14ac:dyDescent="0.25"/>
    <row r="42" spans="2:9" ht="15.75" x14ac:dyDescent="0.25">
      <c r="B42" s="559"/>
      <c r="C42" s="560"/>
      <c r="D42" s="560"/>
      <c r="E42" s="560"/>
      <c r="F42" s="561"/>
    </row>
    <row r="43" spans="2:9" ht="15.75" x14ac:dyDescent="0.25">
      <c r="B43" s="574" t="s">
        <v>102</v>
      </c>
      <c r="C43" s="558"/>
      <c r="D43" s="558"/>
      <c r="E43" s="558"/>
      <c r="F43" s="575"/>
    </row>
    <row r="44" spans="2:9" ht="15.75" x14ac:dyDescent="0.25">
      <c r="B44" s="562" t="s">
        <v>123</v>
      </c>
      <c r="C44" s="563"/>
      <c r="D44" s="563"/>
      <c r="E44" s="563"/>
      <c r="F44" s="564"/>
    </row>
    <row r="45" spans="2:9" ht="15.75" x14ac:dyDescent="0.25">
      <c r="B45" s="562" t="s">
        <v>103</v>
      </c>
      <c r="C45" s="563"/>
      <c r="D45" s="563"/>
      <c r="E45" s="563"/>
      <c r="F45" s="564"/>
    </row>
    <row r="46" spans="2:9" ht="15.75" x14ac:dyDescent="0.25">
      <c r="B46" s="565" t="s">
        <v>104</v>
      </c>
      <c r="C46" s="566"/>
      <c r="D46" s="566"/>
      <c r="E46" s="566"/>
      <c r="F46" s="567"/>
    </row>
    <row r="47" spans="2:9" ht="16.5" thickBot="1" x14ac:dyDescent="0.3">
      <c r="B47" s="555" t="s">
        <v>186</v>
      </c>
      <c r="C47" s="556"/>
      <c r="D47" s="556"/>
      <c r="E47" s="556"/>
      <c r="F47" s="557"/>
    </row>
    <row r="48" spans="2:9" ht="15.75" customHeight="1" x14ac:dyDescent="0.2">
      <c r="B48" s="542" t="s">
        <v>2</v>
      </c>
      <c r="C48" s="544" t="s">
        <v>31</v>
      </c>
      <c r="D48" s="544"/>
      <c r="E48" s="545" t="s">
        <v>171</v>
      </c>
      <c r="F48" s="546"/>
    </row>
    <row r="49" spans="2:6" ht="32.25" thickBot="1" x14ac:dyDescent="0.25">
      <c r="B49" s="543"/>
      <c r="C49" s="352" t="s">
        <v>183</v>
      </c>
      <c r="D49" s="352" t="s">
        <v>184</v>
      </c>
      <c r="E49" s="547"/>
      <c r="F49" s="548"/>
    </row>
    <row r="50" spans="2:6" ht="31.5" x14ac:dyDescent="0.2">
      <c r="B50" s="353" t="s">
        <v>161</v>
      </c>
      <c r="C50" s="354" t="s">
        <v>3</v>
      </c>
      <c r="D50" s="354" t="s">
        <v>3</v>
      </c>
      <c r="E50" s="354" t="s">
        <v>3</v>
      </c>
      <c r="F50" s="355" t="s">
        <v>32</v>
      </c>
    </row>
    <row r="51" spans="2:6" ht="15.75" x14ac:dyDescent="0.2">
      <c r="B51" s="358"/>
      <c r="C51" s="346"/>
      <c r="D51" s="346"/>
      <c r="E51" s="346"/>
      <c r="F51" s="364"/>
    </row>
    <row r="52" spans="2:6" ht="15.75" x14ac:dyDescent="0.2">
      <c r="B52" s="356" t="s">
        <v>105</v>
      </c>
      <c r="C52" s="349">
        <f>(1425000000+1005000)*78%</f>
        <v>1112283900</v>
      </c>
      <c r="D52" s="349">
        <f>(500000+1000000+1000000+1995000+1000000000+400000000+142500000)*78%</f>
        <v>1206656100</v>
      </c>
      <c r="E52" s="349">
        <f>SUM(C52:D52)</f>
        <v>2318940000</v>
      </c>
      <c r="F52" s="324">
        <f t="shared" ref="F52:F57" si="7">E52/285</f>
        <v>8136631.5789473681</v>
      </c>
    </row>
    <row r="53" spans="2:6" ht="15.75" x14ac:dyDescent="0.2">
      <c r="B53" s="356" t="s">
        <v>80</v>
      </c>
      <c r="C53" s="349">
        <f>(142500000)*78%</f>
        <v>111150000</v>
      </c>
      <c r="D53" s="349">
        <f>(1316260000+228000000+142500000)*78%</f>
        <v>1315672800</v>
      </c>
      <c r="E53" s="349">
        <f>SUM(C53:D53)</f>
        <v>1426822800</v>
      </c>
      <c r="F53" s="324">
        <f t="shared" si="7"/>
        <v>5006395.7894736845</v>
      </c>
    </row>
    <row r="54" spans="2:6" ht="15.75" x14ac:dyDescent="0.2">
      <c r="B54" s="356" t="s">
        <v>38</v>
      </c>
      <c r="C54" s="350">
        <f>(117000000)*78%</f>
        <v>91260000</v>
      </c>
      <c r="D54" s="350">
        <f>(175500000+245000000)*78%</f>
        <v>327990000</v>
      </c>
      <c r="E54" s="349">
        <f t="shared" ref="E54:E57" si="8">SUM(C54:D54)</f>
        <v>419250000</v>
      </c>
      <c r="F54" s="324">
        <f t="shared" si="7"/>
        <v>1471052.6315789474</v>
      </c>
    </row>
    <row r="55" spans="2:6" ht="15.75" x14ac:dyDescent="0.2">
      <c r="B55" s="356" t="s">
        <v>39</v>
      </c>
      <c r="C55" s="350">
        <f>(45000000+57000000+100000000+68400000+5112900+23856000+16038364)*78%</f>
        <v>246017665.92000002</v>
      </c>
      <c r="D55" s="350">
        <f>(60000000+188034000+171000000+570000000+100000000+216600000+3408600+15904000+16038364)*78%</f>
        <v>1045968271.9200001</v>
      </c>
      <c r="E55" s="349">
        <f t="shared" si="8"/>
        <v>1291985937.8400002</v>
      </c>
      <c r="F55" s="324">
        <f t="shared" si="7"/>
        <v>4533283.9924210533</v>
      </c>
    </row>
    <row r="56" spans="2:6" ht="15.75" x14ac:dyDescent="0.2">
      <c r="B56" s="356" t="s">
        <v>57</v>
      </c>
      <c r="C56" s="350">
        <f>(1175000)*78%</f>
        <v>916500</v>
      </c>
      <c r="D56" s="350">
        <f>(1175000)*78%</f>
        <v>916500</v>
      </c>
      <c r="E56" s="349">
        <f t="shared" si="8"/>
        <v>1833000</v>
      </c>
      <c r="F56" s="324">
        <f t="shared" si="7"/>
        <v>6431.5789473684208</v>
      </c>
    </row>
    <row r="57" spans="2:6" ht="15.75" x14ac:dyDescent="0.2">
      <c r="B57" s="356" t="s">
        <v>106</v>
      </c>
      <c r="C57" s="350">
        <f>(11526000+15975000)*78%</f>
        <v>21450780</v>
      </c>
      <c r="D57" s="350">
        <f>(11526000+15975000)*78%</f>
        <v>21450780</v>
      </c>
      <c r="E57" s="349">
        <f t="shared" si="8"/>
        <v>42901560</v>
      </c>
      <c r="F57" s="324">
        <f t="shared" si="7"/>
        <v>150531.78947368421</v>
      </c>
    </row>
    <row r="58" spans="2:6" ht="15.75" x14ac:dyDescent="0.25">
      <c r="B58" s="357" t="s">
        <v>165</v>
      </c>
      <c r="C58" s="351">
        <f>SUM(C52:C57)</f>
        <v>1583078845.9200001</v>
      </c>
      <c r="D58" s="351">
        <f>SUM(D52:D57)</f>
        <v>3918654451.9200001</v>
      </c>
      <c r="E58" s="351">
        <f>SUM(E52:E57)</f>
        <v>5501733297.8400002</v>
      </c>
      <c r="F58" s="365">
        <f>SUM(F52:F57)</f>
        <v>19304327.360842105</v>
      </c>
    </row>
    <row r="59" spans="2:6" ht="15.75" customHeight="1" x14ac:dyDescent="0.25">
      <c r="B59" s="357"/>
      <c r="C59" s="351"/>
      <c r="D59" s="351"/>
      <c r="E59" s="351"/>
      <c r="F59" s="365"/>
    </row>
    <row r="60" spans="2:6" ht="31.5" x14ac:dyDescent="0.2">
      <c r="B60" s="358" t="s">
        <v>162</v>
      </c>
      <c r="C60" s="348"/>
      <c r="D60" s="348"/>
      <c r="E60" s="348"/>
      <c r="F60" s="359"/>
    </row>
    <row r="61" spans="2:6" ht="15.75" customHeight="1" x14ac:dyDescent="0.2">
      <c r="B61" s="358"/>
      <c r="C61" s="346"/>
      <c r="D61" s="346"/>
      <c r="E61" s="346"/>
      <c r="F61" s="364"/>
    </row>
    <row r="62" spans="2:6" ht="15.75" customHeight="1" x14ac:dyDescent="0.2">
      <c r="B62" s="356" t="s">
        <v>105</v>
      </c>
      <c r="C62" s="350">
        <v>0</v>
      </c>
      <c r="D62" s="350">
        <v>0</v>
      </c>
      <c r="E62" s="349">
        <f>SUM(C62:D62)</f>
        <v>0</v>
      </c>
      <c r="F62" s="324">
        <f t="shared" ref="F62:F67" si="9">E62/285</f>
        <v>0</v>
      </c>
    </row>
    <row r="63" spans="2:6" ht="15.75" customHeight="1" x14ac:dyDescent="0.2">
      <c r="B63" s="356" t="s">
        <v>80</v>
      </c>
      <c r="C63" s="350">
        <v>0</v>
      </c>
      <c r="D63" s="350">
        <v>0</v>
      </c>
      <c r="E63" s="349">
        <f>SUM(C63:D63)</f>
        <v>0</v>
      </c>
      <c r="F63" s="324">
        <f t="shared" si="9"/>
        <v>0</v>
      </c>
    </row>
    <row r="64" spans="2:6" ht="16.5" customHeight="1" x14ac:dyDescent="0.2">
      <c r="B64" s="356" t="s">
        <v>38</v>
      </c>
      <c r="C64" s="350">
        <f>(30012000)*78%</f>
        <v>23409360</v>
      </c>
      <c r="D64" s="350">
        <f>(20008000)*78%</f>
        <v>15606240</v>
      </c>
      <c r="E64" s="349">
        <f t="shared" ref="E64:E67" si="10">SUM(C64:D64)</f>
        <v>39015600</v>
      </c>
      <c r="F64" s="324">
        <f t="shared" si="9"/>
        <v>136896.84210526315</v>
      </c>
    </row>
    <row r="65" spans="2:6" ht="16.5" customHeight="1" x14ac:dyDescent="0.2">
      <c r="B65" s="356" t="s">
        <v>39</v>
      </c>
      <c r="C65" s="350">
        <v>0</v>
      </c>
      <c r="D65" s="350">
        <v>0</v>
      </c>
      <c r="E65" s="349">
        <f t="shared" si="10"/>
        <v>0</v>
      </c>
      <c r="F65" s="324">
        <f t="shared" si="9"/>
        <v>0</v>
      </c>
    </row>
    <row r="66" spans="2:6" ht="15.75" customHeight="1" x14ac:dyDescent="0.2">
      <c r="B66" s="356" t="s">
        <v>57</v>
      </c>
      <c r="C66" s="350">
        <v>0</v>
      </c>
      <c r="D66" s="350">
        <v>0</v>
      </c>
      <c r="E66" s="349">
        <f t="shared" si="10"/>
        <v>0</v>
      </c>
      <c r="F66" s="324">
        <f t="shared" si="9"/>
        <v>0</v>
      </c>
    </row>
    <row r="67" spans="2:6" ht="15.75" customHeight="1" x14ac:dyDescent="0.2">
      <c r="B67" s="356" t="s">
        <v>106</v>
      </c>
      <c r="C67" s="350">
        <v>0</v>
      </c>
      <c r="D67" s="350">
        <v>0</v>
      </c>
      <c r="E67" s="349">
        <f t="shared" si="10"/>
        <v>0</v>
      </c>
      <c r="F67" s="324">
        <f t="shared" si="9"/>
        <v>0</v>
      </c>
    </row>
    <row r="68" spans="2:6" ht="15.75" customHeight="1" x14ac:dyDescent="0.25">
      <c r="B68" s="357" t="s">
        <v>163</v>
      </c>
      <c r="C68" s="351">
        <f>SUM(C62:C67)</f>
        <v>23409360</v>
      </c>
      <c r="D68" s="351">
        <f>SUM(D62:D67)</f>
        <v>15606240</v>
      </c>
      <c r="E68" s="351">
        <f>SUM(E62:E67)</f>
        <v>39015600</v>
      </c>
      <c r="F68" s="365">
        <f>SUM(F62:F67)</f>
        <v>136896.84210526315</v>
      </c>
    </row>
    <row r="69" spans="2:6" ht="15.75" customHeight="1" x14ac:dyDescent="0.25">
      <c r="B69" s="357"/>
      <c r="C69" s="351"/>
      <c r="D69" s="351"/>
      <c r="E69" s="351"/>
      <c r="F69" s="365"/>
    </row>
    <row r="70" spans="2:6" ht="31.5" x14ac:dyDescent="0.2">
      <c r="B70" s="358" t="s">
        <v>157</v>
      </c>
      <c r="C70" s="351"/>
      <c r="D70" s="351"/>
      <c r="E70" s="351"/>
      <c r="F70" s="365"/>
    </row>
    <row r="71" spans="2:6" ht="16.5" customHeight="1" x14ac:dyDescent="0.2">
      <c r="B71" s="358"/>
      <c r="C71" s="351"/>
      <c r="D71" s="351"/>
      <c r="E71" s="351"/>
      <c r="F71" s="365"/>
    </row>
    <row r="72" spans="2:6" ht="16.5" customHeight="1" x14ac:dyDescent="0.2">
      <c r="B72" s="356" t="s">
        <v>105</v>
      </c>
      <c r="C72" s="349">
        <v>0</v>
      </c>
      <c r="D72" s="349">
        <v>0</v>
      </c>
      <c r="E72" s="349">
        <f>SUM(C72:D72)</f>
        <v>0</v>
      </c>
      <c r="F72" s="324">
        <f t="shared" ref="F72:F77" si="11">E72/285</f>
        <v>0</v>
      </c>
    </row>
    <row r="73" spans="2:6" ht="16.5" customHeight="1" x14ac:dyDescent="0.2">
      <c r="B73" s="356" t="s">
        <v>80</v>
      </c>
      <c r="C73" s="349">
        <v>0</v>
      </c>
      <c r="D73" s="349">
        <v>0</v>
      </c>
      <c r="E73" s="349">
        <f>SUM(C73:D73)</f>
        <v>0</v>
      </c>
      <c r="F73" s="324">
        <f t="shared" si="11"/>
        <v>0</v>
      </c>
    </row>
    <row r="74" spans="2:6" ht="16.5" customHeight="1" x14ac:dyDescent="0.2">
      <c r="B74" s="356" t="s">
        <v>38</v>
      </c>
      <c r="C74" s="349">
        <v>0</v>
      </c>
      <c r="D74" s="349">
        <v>0</v>
      </c>
      <c r="E74" s="349">
        <f t="shared" ref="E74:E77" si="12">SUM(C74:D74)</f>
        <v>0</v>
      </c>
      <c r="F74" s="324">
        <f t="shared" si="11"/>
        <v>0</v>
      </c>
    </row>
    <row r="75" spans="2:6" ht="15.75" customHeight="1" x14ac:dyDescent="0.2">
      <c r="B75" s="356" t="s">
        <v>39</v>
      </c>
      <c r="C75" s="349">
        <v>0</v>
      </c>
      <c r="D75" s="349">
        <v>0</v>
      </c>
      <c r="E75" s="349">
        <f t="shared" si="12"/>
        <v>0</v>
      </c>
      <c r="F75" s="324">
        <f t="shared" si="11"/>
        <v>0</v>
      </c>
    </row>
    <row r="76" spans="2:6" ht="15.75" customHeight="1" x14ac:dyDescent="0.2">
      <c r="B76" s="356" t="s">
        <v>57</v>
      </c>
      <c r="C76" s="349">
        <v>0</v>
      </c>
      <c r="D76" s="349">
        <v>0</v>
      </c>
      <c r="E76" s="349">
        <f t="shared" si="12"/>
        <v>0</v>
      </c>
      <c r="F76" s="324">
        <f t="shared" si="11"/>
        <v>0</v>
      </c>
    </row>
    <row r="77" spans="2:6" ht="15.75" customHeight="1" x14ac:dyDescent="0.2">
      <c r="B77" s="356" t="s">
        <v>106</v>
      </c>
      <c r="C77" s="349">
        <v>0</v>
      </c>
      <c r="D77" s="349">
        <v>0</v>
      </c>
      <c r="E77" s="349">
        <f t="shared" si="12"/>
        <v>0</v>
      </c>
      <c r="F77" s="324">
        <f t="shared" si="11"/>
        <v>0</v>
      </c>
    </row>
    <row r="78" spans="2:6" ht="15.75" customHeight="1" x14ac:dyDescent="0.25">
      <c r="B78" s="357" t="s">
        <v>164</v>
      </c>
      <c r="C78" s="351">
        <f>SUM(C72:C77)</f>
        <v>0</v>
      </c>
      <c r="D78" s="351">
        <f t="shared" ref="D78:F78" si="13">SUM(D72:D77)</f>
        <v>0</v>
      </c>
      <c r="E78" s="351">
        <f t="shared" si="13"/>
        <v>0</v>
      </c>
      <c r="F78" s="361">
        <f t="shared" si="13"/>
        <v>0</v>
      </c>
    </row>
    <row r="79" spans="2:6" ht="15.75" customHeight="1" x14ac:dyDescent="0.2">
      <c r="B79" s="360" t="s">
        <v>125</v>
      </c>
      <c r="C79" s="351">
        <f>C58+C68+C78</f>
        <v>1606488205.9200001</v>
      </c>
      <c r="D79" s="351">
        <f t="shared" ref="D79" si="14">D58+D68+D78</f>
        <v>3934260691.9200001</v>
      </c>
      <c r="E79" s="351">
        <f t="shared" ref="E79" si="15">E58+E68+E78</f>
        <v>5540748897.8400002</v>
      </c>
      <c r="F79" s="361">
        <f t="shared" ref="F79" si="16">F58+F68+F78</f>
        <v>19441224.202947367</v>
      </c>
    </row>
    <row r="80" spans="2:6" ht="16.5" customHeight="1" thickBot="1" x14ac:dyDescent="0.25">
      <c r="B80" s="549" t="s">
        <v>107</v>
      </c>
      <c r="C80" s="550"/>
      <c r="D80" s="550"/>
      <c r="E80" s="551"/>
      <c r="F80" s="366">
        <f>'Sources &amp; Application'!H19</f>
        <v>12922232</v>
      </c>
    </row>
    <row r="81" spans="2:6" ht="16.5" customHeight="1" thickBot="1" x14ac:dyDescent="0.25">
      <c r="B81" s="552" t="s">
        <v>185</v>
      </c>
      <c r="C81" s="553"/>
      <c r="D81" s="553"/>
      <c r="E81" s="554"/>
      <c r="F81" s="475">
        <f>F79</f>
        <v>19441224.202947367</v>
      </c>
    </row>
    <row r="83" spans="2:6" ht="15.75" x14ac:dyDescent="0.2">
      <c r="B83" s="347" t="s">
        <v>166</v>
      </c>
      <c r="C83" s="351">
        <f>C38+C79</f>
        <v>2063875264</v>
      </c>
      <c r="D83" s="351">
        <f t="shared" ref="D83:F83" si="17">D38+D79</f>
        <v>5504198964</v>
      </c>
      <c r="E83" s="351">
        <f t="shared" si="17"/>
        <v>7568074228</v>
      </c>
      <c r="F83" s="351">
        <f t="shared" si="17"/>
        <v>26554646.414035089</v>
      </c>
    </row>
    <row r="84" spans="2:6" x14ac:dyDescent="0.2">
      <c r="C84" s="362"/>
      <c r="D84" s="362"/>
    </row>
    <row r="85" spans="2:6" x14ac:dyDescent="0.2">
      <c r="C85" s="362"/>
      <c r="D85" s="362"/>
    </row>
  </sheetData>
  <mergeCells count="22">
    <mergeCell ref="B47:F47"/>
    <mergeCell ref="B42:F42"/>
    <mergeCell ref="B43:F43"/>
    <mergeCell ref="B44:F44"/>
    <mergeCell ref="B45:F45"/>
    <mergeCell ref="B46:F46"/>
    <mergeCell ref="B7:B8"/>
    <mergeCell ref="C7:D7"/>
    <mergeCell ref="E7:F8"/>
    <mergeCell ref="B39:E39"/>
    <mergeCell ref="B40:E40"/>
    <mergeCell ref="B6:F6"/>
    <mergeCell ref="B1:F1"/>
    <mergeCell ref="B2:F2"/>
    <mergeCell ref="B3:F3"/>
    <mergeCell ref="B4:F4"/>
    <mergeCell ref="B5:F5"/>
    <mergeCell ref="B48:B49"/>
    <mergeCell ref="C48:D48"/>
    <mergeCell ref="E48:F49"/>
    <mergeCell ref="B80:E80"/>
    <mergeCell ref="B81:E81"/>
  </mergeCells>
  <pageMargins left="0.7" right="0.7" top="0.75" bottom="0.75" header="0.3" footer="0.3"/>
  <pageSetup paperSize="9" scale="68" fitToHeight="2" orientation="landscape" r:id="rId1"/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2a6c10d7-b926-4fc0-945e-3cbf5049f6bd" ContentTypeId="0x010100F4C63C3BD852AE468EAEFD0E6C57C64F0204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1cb080a3dca4eb8a0fd03c7cc8bf8f7 xmlns="3e02667f-0271-471b-bd6e-11a2e16def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IFR</TermName>
          <TermId xmlns="http://schemas.microsoft.com/office/infopath/2007/PartnerControls">fd684092-604d-4bca-bbd3-ab1f2ef32739</TermId>
        </TermInfo>
      </Terms>
    </o1cb080a3dca4eb8a0fd03c7cc8bf8f7>
    <wb_externalwebdecision xmlns="3e02667f-0271-471b-bd6e-11a2e16def1d">No</wb_externalwebdecision>
    <wb_ibflag xmlns="3e02667f-0271-471b-bd6e-11a2e16def1d">No</wb_ibflag>
    <wb_realcreationdate xmlns="3e02667f-0271-471b-bd6e-11a2e16def1d" xsi:nil="true"/>
    <wb_bidreference xmlns="3e02667f-0271-471b-bd6e-11a2e16def1d" xsi:nil="true"/>
    <wb_externalwebdescription xmlns="3e02667f-0271-471b-bd6e-11a2e16def1d" xsi:nil="true"/>
    <wb_publicalternativeapprover xmlns="3e02667f-0271-471b-bd6e-11a2e16def1d">
      <UserInfo>
        <DisplayName/>
        <AccountId xsi:nil="true"/>
        <AccountType/>
      </UserInfo>
    </wb_publicalternativeapprover>
    <wb_referencenumber xmlns="3e02667f-0271-471b-bd6e-11a2e16def1d" xsi:nil="true"/>
    <wb_documentloancreditfundnbr xmlns="3e02667f-0271-471b-bd6e-11a2e16def1d" xsi:nil="true"/>
    <wb_externalwebdate xmlns="3e02667f-0271-471b-bd6e-11a2e16def1d">2022-08-17T04:00:00+00:00</wb_externalwebdate>
    <wb_loanid xmlns="3e02667f-0271-471b-bd6e-11a2e16def1d" xsi:nil="true"/>
    <wb_externalpublic xmlns="3e02667f-0271-471b-bd6e-11a2e16def1d">false</wb_externalpublic>
    <wb_fiscalyear xmlns="3e02667f-0271-471b-bd6e-11a2e16def1d" xsi:nil="true"/>
    <wb_psrno xmlns="3e02667f-0271-471b-bd6e-11a2e16def1d" xsi:nil="true"/>
    <wb_cttype xmlns="3e02667f-0271-471b-bd6e-11a2e16def1d">MAIN</wb_cttype>
    <wb_filename xmlns="3e02667f-0271-471b-bd6e-11a2e16def1d" xsi:nil="true"/>
    <wb_biddescription xmlns="3e02667f-0271-471b-bd6e-11a2e16def1d" xsi:nil="true"/>
    <wb_legodnotes xmlns="3e02667f-0271-471b-bd6e-11a2e16def1d" xsi:nil="true"/>
    <wb_projectid xmlns="3e02667f-0271-471b-bd6e-11a2e16def1d">P166309</wb_projectid>
    <wb_aicomments xmlns="3e02667f-0271-471b-bd6e-11a2e16def1d">Approved by Noureen LNU on 8/17/2022 6:16:00 AM</wb_aicomments>
    <wb_applicationno xmlns="3e02667f-0271-471b-bd6e-11a2e16def1d" xsi:nil="true"/>
    <wb_archivesboxno xmlns="3e02667f-0271-471b-bd6e-11a2e16def1d" xsi:nil="true"/>
    <wb_notesunid xmlns="3e02667f-0271-471b-bd6e-11a2e16def1d" xsi:nil="true"/>
    <wb_realmodifydate xmlns="3e02667f-0271-471b-bd6e-11a2e16def1d" xsi:nil="true"/>
    <wb_topic xmlns="3e02667f-0271-471b-bd6e-11a2e16def1d" xsi:nil="true"/>
    <wb_disclosuredate xmlns="3e02667f-0271-471b-bd6e-11a2e16def1d" xsi:nil="true"/>
    <wb_reportno xmlns="3e02667f-0271-471b-bd6e-11a2e16def1d">SCI0165127</wb_reportno>
    <wb_internalordernumber xmlns="3e02667f-0271-471b-bd6e-11a2e16def1d" xsi:nil="true"/>
    <wb_addressee xmlns="3e02667f-0271-471b-bd6e-11a2e16def1d" xsi:nil="true"/>
    <wb_doctypecode xmlns="3e02667f-0271-471b-bd6e-11a2e16def1d" xsi:nil="true"/>
    <wb_ibtopic xmlns="3e02667f-0271-471b-bd6e-11a2e16def1d" xsi:nil="true"/>
    <wb_ibtopiclegacy xmlns="3e02667f-0271-471b-bd6e-11a2e16def1d" xsi:nil="true"/>
    <wb_realmodifier xmlns="3e02667f-0271-471b-bd6e-11a2e16def1d" xsi:nil="true"/>
    <wb_correspondencelogno xmlns="3e02667f-0271-471b-bd6e-11a2e16def1d" xsi:nil="true"/>
    <wb_creditnumber xmlns="3e02667f-0271-471b-bd6e-11a2e16def1d" xsi:nil="true"/>
    <wb_financierid xmlns="3e02667f-0271-471b-bd6e-11a2e16def1d" xsi:nil="true"/>
    <ed89010fab75481eba28f36694d32f6e xmlns="3e02667f-0271-471b-bd6e-11a2e16def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832426d7-d0f8-4cc5-a5f1-7b89f69e8f78</TermId>
        </TermInfo>
      </Terms>
    </ed89010fab75481eba28f36694d32f6e>
    <wb_numberofpages xmlns="3e02667f-0271-471b-bd6e-11a2e16def1d" xsi:nil="true"/>
    <wb_projectphase xmlns="3e02667f-0271-471b-bd6e-11a2e16def1d" xsi:nil="true"/>
    <Abstract xmlns="3e02667f-0271-471b-bd6e-11a2e16def1d" xsi:nil="true"/>
    <wb_disclosurestatus xmlns="3e02667f-0271-471b-bd6e-11a2e16def1d" xsi:nil="true"/>
    <wb_externalpublishedlink xmlns="3e02667f-0271-471b-bd6e-11a2e16def1d" xsi:nil="true"/>
    <WBDocs_Access_To_Info_Exception xmlns="3e02667f-0271-471b-bd6e-11a2e16def1d" xsi:nil="true"/>
    <wb_internalordername xmlns="3e02667f-0271-471b-bd6e-11a2e16def1d" xsi:nil="true"/>
    <WBDocs_Document_Date xmlns="3e02667f-0271-471b-bd6e-11a2e16def1d">2022-08-17T10:16:00+00:00</WBDocs_Document_Date>
    <wb_description xmlns="3e02667f-0271-471b-bd6e-11a2e16def1d" xsi:nil="true"/>
    <wb_keyword xmlns="3e02667f-0271-471b-bd6e-11a2e16def1d" xsi:nil="true"/>
    <TaxCatchAll xmlns="3e02667f-0271-471b-bd6e-11a2e16def1d">
      <Value>8</Value>
      <Value>52</Value>
    </TaxCatchAll>
    <wb_generalcounseldoctype xmlns="3e02667f-0271-471b-bd6e-11a2e16def1d" xsi:nil="true"/>
    <wb_ibtopiccode xmlns="3e02667f-0271-471b-bd6e-11a2e16def1d" xsi:nil="true"/>
    <OneCMS_Subcategory xmlns="3e02667f-0271-471b-bd6e-11a2e16def1d" xsi:nil="true"/>
    <wb_trustfundcode xmlns="3e02667f-0271-471b-bd6e-11a2e16def1d" xsi:nil="true"/>
    <wb_archiveprojectid xmlns="3e02667f-0271-471b-bd6e-11a2e16def1d" xsi:nil="true"/>
    <wb_realcreatorname xmlns="3e02667f-0271-471b-bd6e-11a2e16def1d" xsi:nil="true"/>
    <wb_disclosuretype xmlns="3e02667f-0271-471b-bd6e-11a2e16def1d" xsi:nil="true"/>
    <wb_documententitytype xmlns="3e02667f-0271-471b-bd6e-11a2e16def1d" xsi:nil="true"/>
    <wb_exceptionapprover xmlns="3e02667f-0271-471b-bd6e-11a2e16def1d">
      <UserInfo>
        <DisplayName/>
        <AccountId xsi:nil="true"/>
        <AccountType/>
      </UserInfo>
    </wb_exceptionapprover>
    <wb_externalwebstatus xmlns="3e02667f-0271-471b-bd6e-11a2e16def1d">No</wb_externalwebstatus>
    <wb_itemid xmlns="3e02667f-0271-471b-bd6e-11a2e16def1d">SCI0165127</wb_itemid>
    <wb_unregistrationnumber xmlns="3e02667f-0271-471b-bd6e-11a2e16def1d" xsi:nil="true"/>
    <i008215bacac45029ee8cafff4c8e93b xmlns="3e02667f-0271-471b-bd6e-11a2e16def1d">
      <Terms xmlns="http://schemas.microsoft.com/office/infopath/2007/PartnerControls"/>
    </i008215bacac45029ee8cafff4c8e93b>
    <g5db487b699641c994752f446908f645 xmlns="3e02667f-0271-471b-bd6e-11a2e16def1d">
      <Terms xmlns="http://schemas.microsoft.com/office/infopath/2007/PartnerControls"/>
    </g5db487b699641c994752f446908f645>
    <wb_keywordlegacy xmlns="3e02667f-0271-471b-bd6e-11a2e16def1d" xsi:nil="true"/>
    <wb_publicapprover xmlns="3e02667f-0271-471b-bd6e-11a2e16def1d">
      <UserInfo>
        <DisplayName>Noureen Iqbal</DisplayName>
        <AccountId>77</AccountId>
        <AccountType/>
      </UserInfo>
    </wb_publicapprover>
    <wb_archivesaccessionnumber xmlns="3e02667f-0271-471b-bd6e-11a2e16def1d" xsi:nil="true"/>
    <wb_esignaturecode xmlns="3e02667f-0271-471b-bd6e-11a2e16def1d" xsi:nil="true"/>
    <wb_filingapplication xmlns="3e02667f-0271-471b-bd6e-11a2e16def1d">OPS2DATASHEET</wb_filingapplication>
    <wb_ioparentid xmlns="3e02667f-0271-471b-bd6e-11a2e16def1d" xsi:nil="true"/>
    <WBDocs_Information_Classification xmlns="3e02667f-0271-471b-bd6e-11a2e16def1d">Official Use Only</WBDocs_Information_Classification>
    <wb_taskid xmlns="3e02667f-0271-471b-bd6e-11a2e16def1d" xsi:nil="true"/>
    <OneCMS_Category xmlns="3e02667f-0271-471b-bd6e-11a2e16def1d" xsi:nil="true"/>
    <_dlc_DocId xmlns="3e02667f-0271-471b-bd6e-11a2e16def1d">C2XY2H5J4TMJ-571010746-177</_dlc_DocId>
    <_dlc_DocIdUrl xmlns="3e02667f-0271-471b-bd6e-11a2e16def1d">
      <Url>https://worldbankgroup.sharepoint.com/sites/P166309/_layouts/15/DocIdRedir.aspx?ID=C2XY2H5J4TMJ-571010746-177</Url>
      <Description>C2XY2H5J4TMJ-571010746-177</Description>
    </_dlc_DocIdUrl>
    <wb_subfolder xmlns="3e02667f-0271-471b-bd6e-11a2e16def1d">EBIZ</wb_subfolder>
    <wb_refreshdate xmlns="3e02667f-0271-471b-bd6e-11a2e16def1d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BDocument_Ops_API" ma:contentTypeID="0x010100F4C63C3BD852AE468EAEFD0E6C57C64F020401008B5893351E1AE74ABC723C93C3F73469" ma:contentTypeVersion="11" ma:contentTypeDescription="" ma:contentTypeScope="" ma:versionID="38ee4feda15f6ffa414dc98d2df9b907">
  <xsd:schema xmlns:xsd="http://www.w3.org/2001/XMLSchema" xmlns:xs="http://www.w3.org/2001/XMLSchema" xmlns:p="http://schemas.microsoft.com/office/2006/metadata/properties" xmlns:ns3="3e02667f-0271-471b-bd6e-11a2e16def1d" targetNamespace="http://schemas.microsoft.com/office/2006/metadata/properties" ma:root="true" ma:fieldsID="46a5783297a002799964aaba3ff06c6c" ns3:_="">
    <xsd:import namespace="3e02667f-0271-471b-bd6e-11a2e16def1d"/>
    <xsd:element name="properties">
      <xsd:complexType>
        <xsd:sequence>
          <xsd:element name="documentManagement">
            <xsd:complexType>
              <xsd:all>
                <xsd:element ref="ns3:WBDocs_Document_Date" minOccurs="0"/>
                <xsd:element ref="ns3:WBDocs_Information_Classification"/>
                <xsd:element ref="ns3:TaxCatchAll" minOccurs="0"/>
                <xsd:element ref="ns3:TaxCatchAllLabel" minOccurs="0"/>
                <xsd:element ref="ns3:_dlc_DocId" minOccurs="0"/>
                <xsd:element ref="ns3:_dlc_DocIdUrl" minOccurs="0"/>
                <xsd:element ref="ns3:_dlc_DocIdPersistId" minOccurs="0"/>
                <xsd:element ref="ns3:WBDocs_Access_To_Info_Exception" minOccurs="0"/>
                <xsd:element ref="ns3:o1cb080a3dca4eb8a0fd03c7cc8bf8f7" minOccurs="0"/>
                <xsd:element ref="ns3:i008215bacac45029ee8cafff4c8e93b" minOccurs="0"/>
                <xsd:element ref="ns3:wb_projectid" minOccurs="0"/>
                <xsd:element ref="ns3:wb_trustfundcode" minOccurs="0"/>
                <xsd:element ref="ns3:wb_loanid" minOccurs="0"/>
                <xsd:element ref="ns3:wb_bidreference" minOccurs="0"/>
                <xsd:element ref="ns3:wb_biddescription" minOccurs="0"/>
                <xsd:element ref="ns3:wb_internalordernumber" minOccurs="0"/>
                <xsd:element ref="ns3:wb_addressee" minOccurs="0"/>
                <xsd:element ref="ns3:wb_aicomments" minOccurs="0"/>
                <xsd:element ref="ns3:wb_archivesaccessionnumber" minOccurs="0"/>
                <xsd:element ref="ns3:wb_archiveprojectid" minOccurs="0"/>
                <xsd:element ref="ns3:wb_archivesboxno" minOccurs="0"/>
                <xsd:element ref="ns3:wb_correspondencelogno" minOccurs="0"/>
                <xsd:element ref="ns3:wb_description" minOccurs="0"/>
                <xsd:element ref="ns3:wb_disclosuredate" minOccurs="0"/>
                <xsd:element ref="ns3:wb_disclosurestatus" minOccurs="0"/>
                <xsd:element ref="ns3:wb_disclosuretype" minOccurs="0"/>
                <xsd:element ref="ns3:wb_doctypecode" minOccurs="0"/>
                <xsd:element ref="ns3:wb_esignaturecode" minOccurs="0"/>
                <xsd:element ref="ns3:wb_exceptionapprover" minOccurs="0"/>
                <xsd:element ref="ns3:wb_externalpublic" minOccurs="0"/>
                <xsd:element ref="ns3:wb_externalpublishedlink" minOccurs="0"/>
                <xsd:element ref="ns3:wb_externalwebdate" minOccurs="0"/>
                <xsd:element ref="ns3:wb_externalwebdecision" minOccurs="0"/>
                <xsd:element ref="ns3:wb_externalwebdescription" minOccurs="0"/>
                <xsd:element ref="ns3:wb_externalwebstatus" minOccurs="0"/>
                <xsd:element ref="ns3:wb_notesunid" minOccurs="0"/>
                <xsd:element ref="ns3:wb_filingapplication" minOccurs="0"/>
                <xsd:element ref="ns3:wb_fiscalyear" minOccurs="0"/>
                <xsd:element ref="ns3:wb_ibflag" minOccurs="0"/>
                <xsd:element ref="ns3:wb_ibtopic" minOccurs="0"/>
                <xsd:element ref="ns3:wb_ibtopiccode" minOccurs="0"/>
                <xsd:element ref="ns3:wb_ibtopiclegacy" minOccurs="0"/>
                <xsd:element ref="ns3:wb_keyword" minOccurs="0"/>
                <xsd:element ref="ns3:wb_keywordlegacy" minOccurs="0"/>
                <xsd:element ref="ns3:wb_numberofpages" minOccurs="0"/>
                <xsd:element ref="ns3:wb_projectphase" minOccurs="0"/>
                <xsd:element ref="ns3:wb_publicalternativeapprover" minOccurs="0"/>
                <xsd:element ref="ns3:wb_publicapprover" minOccurs="0"/>
                <xsd:element ref="ns3:wb_realcreationdate" minOccurs="0"/>
                <xsd:element ref="ns3:wb_realcreatorname" minOccurs="0"/>
                <xsd:element ref="ns3:wb_realmodifier" minOccurs="0"/>
                <xsd:element ref="ns3:wb_realmodifydate" minOccurs="0"/>
                <xsd:element ref="ns3:wb_referencenumber" minOccurs="0"/>
                <xsd:element ref="ns3:wb_refreshdate" minOccurs="0"/>
                <xsd:element ref="ns3:wb_taskid" minOccurs="0"/>
                <xsd:element ref="ns3:OneCMS_Subcategory" minOccurs="0"/>
                <xsd:element ref="ns3:OneCMS_Category" minOccurs="0"/>
                <xsd:element ref="ns3:Abstract" minOccurs="0"/>
                <xsd:element ref="ns3:wb_applicationno" minOccurs="0"/>
                <xsd:element ref="ns3:g5db487b699641c994752f446908f645" minOccurs="0"/>
                <xsd:element ref="ns3:wb_creditnumber" minOccurs="0"/>
                <xsd:element ref="ns3:wb_cttype" minOccurs="0"/>
                <xsd:element ref="ns3:wb_documententitytype" minOccurs="0"/>
                <xsd:element ref="ns3:wb_documentloancreditfundnbr" minOccurs="0"/>
                <xsd:element ref="ns3:wb_financierid" minOccurs="0"/>
                <xsd:element ref="ns3:wb_generalcounseldoctype" minOccurs="0"/>
                <xsd:element ref="ns3:wb_internalordername" minOccurs="0"/>
                <xsd:element ref="ns3:wb_ioparentid" minOccurs="0"/>
                <xsd:element ref="ns3:wb_itemid" minOccurs="0"/>
                <xsd:element ref="ns3:ed89010fab75481eba28f36694d32f6e" minOccurs="0"/>
                <xsd:element ref="ns3:wb_legodnotes" minOccurs="0"/>
                <xsd:element ref="ns3:wb_psrno" minOccurs="0"/>
                <xsd:element ref="ns3:wb_reportno" minOccurs="0"/>
                <xsd:element ref="ns3:wb_topic" minOccurs="0"/>
                <xsd:element ref="ns3:wb_unregistrationnumber" minOccurs="0"/>
                <xsd:element ref="ns3:wb_filename" minOccurs="0"/>
                <xsd:element ref="ns3:wb_subfol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2667f-0271-471b-bd6e-11a2e16def1d" elementFormDefault="qualified">
    <xsd:import namespace="http://schemas.microsoft.com/office/2006/documentManagement/types"/>
    <xsd:import namespace="http://schemas.microsoft.com/office/infopath/2007/PartnerControls"/>
    <xsd:element name="WBDocs_Document_Date" ma:index="3" nillable="true" ma:displayName="Document Date" ma:default="[today]" ma:format="DateTime" ma:internalName="WBDocs_Document_Date" ma:readOnly="false">
      <xsd:simpleType>
        <xsd:restriction base="dms:DateTime"/>
      </xsd:simpleType>
    </xsd:element>
    <xsd:element name="WBDocs_Information_Classification" ma:index="4" ma:displayName="Information Classification" ma:default="Official Use Only" ma:format="Dropdown" ma:internalName="WBDocs_Information_Classification" ma:readOnly="false">
      <xsd:simpleType>
        <xsd:restriction base="dms:Choice">
          <xsd:enumeration value="Public"/>
          <xsd:enumeration value="Official Use Only"/>
          <xsd:enumeration value="Confidential"/>
          <xsd:enumeration value="Strictly Confidential"/>
        </xsd:restriction>
      </xsd:simpleType>
    </xsd:element>
    <xsd:element name="TaxCatchAll" ma:index="6" nillable="true" ma:displayName="Taxonomy Catch All Column" ma:hidden="true" ma:list="{24b904b4-a908-4c12-be4d-2282ad16115d}" ma:internalName="TaxCatchAll" ma:showField="CatchAllData" ma:web="b0bba903-b246-497c-b690-8ef2bef5ac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hidden="true" ma:list="{24b904b4-a908-4c12-be4d-2282ad16115d}" ma:internalName="TaxCatchAllLabel" ma:readOnly="true" ma:showField="CatchAllDataLabel" ma:web="b0bba903-b246-497c-b690-8ef2bef5ac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WBDocs_Access_To_Info_Exception" ma:index="13" nillable="true" ma:displayName="Access to Info Exception" ma:default="12. Not Assessed" ma:format="Dropdown" ma:internalName="WBDocs_Access_To_Info_Exception" ma:readOnly="false">
      <xsd:simpleType>
        <xsd:restriction base="dms:Choice">
          <xsd:enumeration value="1. Personal"/>
          <xsd:enumeration value="2. Executive Director's Communications"/>
          <xsd:enumeration value="3. Board Ethics Committee"/>
          <xsd:enumeration value="4. Attorney-Client Privilege"/>
          <xsd:enumeration value="5. Security &amp; Safety"/>
          <xsd:enumeration value="6. Other Disclosure Regimes"/>
          <xsd:enumeration value="7. Client / Third Party Confidence"/>
          <xsd:enumeration value="8. Corporate/Administrative"/>
          <xsd:enumeration value="9. Deliberative"/>
          <xsd:enumeration value="10a-c. Financial - Forecast/Analysis/Transactions"/>
          <xsd:enumeration value="10d. Financial - Banking &amp; Billing"/>
          <xsd:enumeration value="11. Bank's Prerogative to Restrict"/>
          <xsd:enumeration value="12. Not Assessed"/>
          <xsd:enumeration value="13. Not Applicable"/>
          <xsd:enumeration value="Unknown Policy Restriction"/>
        </xsd:restriction>
      </xsd:simpleType>
    </xsd:element>
    <xsd:element name="o1cb080a3dca4eb8a0fd03c7cc8bf8f7" ma:index="15" nillable="true" ma:taxonomy="true" ma:internalName="o1cb080a3dca4eb8a0fd03c7cc8bf8f7" ma:taxonomyFieldName="WBDocs_Local_Document_Type" ma:displayName="Local Document Type" ma:readOnly="false" ma:default="" ma:fieldId="{81cb080a-3dca-4eb8-a0fd-03c7cc8bf8f7}" ma:taxonomyMulti="true" ma:sspId="2a6c10d7-b926-4fc0-945e-3cbf5049f6bd" ma:termSetId="ec380048-e675-43f7-9194-41567bcb0a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08215bacac45029ee8cafff4c8e93b" ma:index="17" nillable="true" ma:taxonomy="true" ma:internalName="i008215bacac45029ee8cafff4c8e93b" ma:taxonomyFieldName="WBDocs_Originating_Unit" ma:displayName="Originating unit" ma:readOnly="false" ma:default="" ma:fieldId="{2008215b-acac-4502-9ee8-cafff4c8e93b}" ma:taxonomyMulti="true" ma:sspId="2a6c10d7-b926-4fc0-945e-3cbf5049f6bd" ma:termSetId="806c0147-d557-463e-8bb0-983f4f318b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b_projectid" ma:index="21" nillable="true" ma:displayName="Project Id" ma:hidden="true" ma:internalName="wb_projectid" ma:readOnly="false">
      <xsd:simpleType>
        <xsd:restriction base="dms:Text"/>
      </xsd:simpleType>
    </xsd:element>
    <xsd:element name="wb_trustfundcode" ma:index="22" nillable="true" ma:displayName="TrustFund Code" ma:hidden="true" ma:internalName="wb_trustfundcode" ma:readOnly="false">
      <xsd:simpleType>
        <xsd:restriction base="dms:Text"/>
      </xsd:simpleType>
    </xsd:element>
    <xsd:element name="wb_loanid" ma:index="23" nillable="true" ma:displayName="Loan Id" ma:hidden="true" ma:internalName="wb_loanid" ma:readOnly="false">
      <xsd:simpleType>
        <xsd:restriction base="dms:Text"/>
      </xsd:simpleType>
    </xsd:element>
    <xsd:element name="wb_bidreference" ma:index="24" nillable="true" ma:displayName="Bid Reference" ma:hidden="true" ma:internalName="wb_bidreference" ma:readOnly="false">
      <xsd:simpleType>
        <xsd:restriction base="dms:Text"/>
      </xsd:simpleType>
    </xsd:element>
    <xsd:element name="wb_biddescription" ma:index="25" nillable="true" ma:displayName="Bid Description" ma:hidden="true" ma:internalName="wb_biddescription" ma:readOnly="false">
      <xsd:simpleType>
        <xsd:restriction base="dms:Text"/>
      </xsd:simpleType>
    </xsd:element>
    <xsd:element name="wb_internalordernumber" ma:index="26" nillable="true" ma:displayName="Internal Order number" ma:hidden="true" ma:internalName="wb_internalordernumber" ma:readOnly="false">
      <xsd:simpleType>
        <xsd:restriction base="dms:Text"/>
      </xsd:simpleType>
    </xsd:element>
    <xsd:element name="wb_addressee" ma:index="27" nillable="true" ma:displayName="Addressee" ma:hidden="true" ma:internalName="wb_addressee" ma:readOnly="false">
      <xsd:simpleType>
        <xsd:restriction base="dms:Note"/>
      </xsd:simpleType>
    </xsd:element>
    <xsd:element name="wb_aicomments" ma:index="28" nillable="true" ma:displayName="AI Comments" ma:hidden="true" ma:internalName="wb_aicomments" ma:readOnly="false">
      <xsd:simpleType>
        <xsd:restriction base="dms:Note"/>
      </xsd:simpleType>
    </xsd:element>
    <xsd:element name="wb_archivesaccessionnumber" ma:index="29" nillable="true" ma:displayName="Archive Accession Number" ma:hidden="true" ma:internalName="wb_archivesaccessionnumber" ma:readOnly="false">
      <xsd:simpleType>
        <xsd:restriction base="dms:Note"/>
      </xsd:simpleType>
    </xsd:element>
    <xsd:element name="wb_archiveprojectid" ma:index="30" nillable="true" ma:displayName="Archive Project Id" ma:hidden="true" ma:internalName="wb_archiveprojectid" ma:readOnly="false">
      <xsd:simpleType>
        <xsd:restriction base="dms:Note"/>
      </xsd:simpleType>
    </xsd:element>
    <xsd:element name="wb_archivesboxno" ma:index="31" nillable="true" ma:displayName="ArchiveBoxNo" ma:hidden="true" ma:internalName="wb_archivesboxno" ma:readOnly="false">
      <xsd:simpleType>
        <xsd:restriction base="dms:Note"/>
      </xsd:simpleType>
    </xsd:element>
    <xsd:element name="wb_correspondencelogno" ma:index="32" nillable="true" ma:displayName="CorrespondenceLogNo" ma:hidden="true" ma:internalName="wb_correspondencelogno" ma:readOnly="false">
      <xsd:simpleType>
        <xsd:restriction base="dms:Note"/>
      </xsd:simpleType>
    </xsd:element>
    <xsd:element name="wb_description" ma:index="33" nillable="true" ma:displayName="Description" ma:hidden="true" ma:internalName="wb_description" ma:readOnly="false">
      <xsd:simpleType>
        <xsd:restriction base="dms:Note"/>
      </xsd:simpleType>
    </xsd:element>
    <xsd:element name="wb_disclosuredate" ma:index="34" nillable="true" ma:displayName="Disclosure Date" ma:hidden="true" ma:internalName="wb_disclosuredate" ma:readOnly="false">
      <xsd:simpleType>
        <xsd:restriction base="dms:DateTime"/>
      </xsd:simpleType>
    </xsd:element>
    <xsd:element name="wb_disclosurestatus" ma:index="35" nillable="true" ma:displayName="Disclosure Status" ma:hidden="true" ma:internalName="wb_disclosurestatus" ma:readOnly="false">
      <xsd:simpleType>
        <xsd:restriction base="dms:Text"/>
      </xsd:simpleType>
    </xsd:element>
    <xsd:element name="wb_disclosuretype" ma:index="36" nillable="true" ma:displayName="Disclosure Type" ma:hidden="true" ma:internalName="wb_disclosuretype" ma:readOnly="false">
      <xsd:simpleType>
        <xsd:restriction base="dms:Text"/>
      </xsd:simpleType>
    </xsd:element>
    <xsd:element name="wb_doctypecode" ma:index="37" nillable="true" ma:displayName="DocType Code" ma:hidden="true" ma:internalName="wb_doctypecode" ma:readOnly="false">
      <xsd:simpleType>
        <xsd:restriction base="dms:Text"/>
      </xsd:simpleType>
    </xsd:element>
    <xsd:element name="wb_esignaturecode" ma:index="38" nillable="true" ma:displayName="E Signature Code" ma:hidden="true" ma:internalName="wb_esignaturecode" ma:readOnly="false">
      <xsd:simpleType>
        <xsd:restriction base="dms:Text"/>
      </xsd:simpleType>
    </xsd:element>
    <xsd:element name="wb_exceptionapprover" ma:index="39" nillable="true" ma:displayName="Exception Approver" ma:hidden="true" ma:internalName="wb_exceptionapprov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b_externalpublic" ma:index="40" nillable="true" ma:displayName="External Public" ma:default="0" ma:internalName="wb_externalpublic">
      <xsd:simpleType>
        <xsd:restriction base="dms:Boolean"/>
      </xsd:simpleType>
    </xsd:element>
    <xsd:element name="wb_externalpublishedlink" ma:index="41" nillable="true" ma:displayName="External Published Link" ma:hidden="true" ma:internalName="wb_externalpublishedlink" ma:readOnly="false">
      <xsd:simpleType>
        <xsd:restriction base="dms:Text"/>
      </xsd:simpleType>
    </xsd:element>
    <xsd:element name="wb_externalwebdate" ma:index="42" nillable="true" ma:displayName="External Web Date" ma:hidden="true" ma:internalName="wb_externalwebdate" ma:readOnly="false">
      <xsd:simpleType>
        <xsd:restriction base="dms:DateTime"/>
      </xsd:simpleType>
    </xsd:element>
    <xsd:element name="wb_externalwebdecision" ma:index="43" nillable="true" ma:displayName="External Web Decision" ma:hidden="true" ma:internalName="wb_externalwebdecision" ma:readOnly="false">
      <xsd:simpleType>
        <xsd:restriction base="dms:Note"/>
      </xsd:simpleType>
    </xsd:element>
    <xsd:element name="wb_externalwebdescription" ma:index="44" nillable="true" ma:displayName="External Web Description" ma:hidden="true" ma:internalName="wb_externalwebdescription" ma:readOnly="false">
      <xsd:simpleType>
        <xsd:restriction base="dms:Note"/>
      </xsd:simpleType>
    </xsd:element>
    <xsd:element name="wb_externalwebstatus" ma:index="45" nillable="true" ma:displayName="External Web Status" ma:hidden="true" ma:internalName="wb_externalwebstatus" ma:readOnly="false">
      <xsd:simpleType>
        <xsd:restriction base="dms:Text"/>
      </xsd:simpleType>
    </xsd:element>
    <xsd:element name="wb_notesunid" ma:index="46" nillable="true" ma:displayName="Notes UNID" ma:hidden="true" ma:internalName="wb_notesunid" ma:readOnly="false">
      <xsd:simpleType>
        <xsd:restriction base="dms:Text"/>
      </xsd:simpleType>
    </xsd:element>
    <xsd:element name="wb_filingapplication" ma:index="47" nillable="true" ma:displayName="Filing Application" ma:hidden="true" ma:internalName="wb_filingapplication" ma:readOnly="false">
      <xsd:simpleType>
        <xsd:restriction base="dms:Text"/>
      </xsd:simpleType>
    </xsd:element>
    <xsd:element name="wb_fiscalyear" ma:index="48" nillable="true" ma:displayName="Fiscal Year" ma:hidden="true" ma:internalName="wb_fiscalyear" ma:readOnly="false">
      <xsd:simpleType>
        <xsd:restriction base="dms:Text"/>
      </xsd:simpleType>
    </xsd:element>
    <xsd:element name="wb_ibflag" ma:index="49" nillable="true" ma:displayName="IB Flag" ma:hidden="true" ma:internalName="wb_ibflag" ma:readOnly="false">
      <xsd:simpleType>
        <xsd:restriction base="dms:Text"/>
      </xsd:simpleType>
    </xsd:element>
    <xsd:element name="wb_ibtopic" ma:index="50" nillable="true" ma:displayName="IB Topic" ma:hidden="true" ma:internalName="wb_ibtopic" ma:readOnly="false">
      <xsd:simpleType>
        <xsd:restriction base="dms:Note"/>
      </xsd:simpleType>
    </xsd:element>
    <xsd:element name="wb_ibtopiccode" ma:index="51" nillable="true" ma:displayName="IB Topic Code" ma:hidden="true" ma:internalName="wb_ibtopiccode" ma:readOnly="false">
      <xsd:simpleType>
        <xsd:restriction base="dms:Note"/>
      </xsd:simpleType>
    </xsd:element>
    <xsd:element name="wb_ibtopiclegacy" ma:index="52" nillable="true" ma:displayName="IB Topic Legacy" ma:hidden="true" ma:internalName="wb_ibtopiclegacy" ma:readOnly="false">
      <xsd:simpleType>
        <xsd:restriction base="dms:Note"/>
      </xsd:simpleType>
    </xsd:element>
    <xsd:element name="wb_keyword" ma:index="53" nillable="true" ma:displayName="Keyword" ma:hidden="true" ma:internalName="wb_keyword" ma:readOnly="false">
      <xsd:simpleType>
        <xsd:restriction base="dms:Note"/>
      </xsd:simpleType>
    </xsd:element>
    <xsd:element name="wb_keywordlegacy" ma:index="54" nillable="true" ma:displayName="Keyword_Legacy" ma:hidden="true" ma:internalName="wb_keywordlegacy" ma:readOnly="false">
      <xsd:simpleType>
        <xsd:restriction base="dms:Note"/>
      </xsd:simpleType>
    </xsd:element>
    <xsd:element name="wb_numberofpages" ma:index="55" nillable="true" ma:displayName="Numberofpages" ma:hidden="true" ma:internalName="wb_numberofpages" ma:readOnly="false">
      <xsd:simpleType>
        <xsd:restriction base="dms:Text"/>
      </xsd:simpleType>
    </xsd:element>
    <xsd:element name="wb_projectphase" ma:index="56" nillable="true" ma:displayName="Project Phase" ma:format="Dropdown" ma:hidden="true" ma:internalName="wb_projectphase" ma:readOnly="false">
      <xsd:simpleType>
        <xsd:restriction base="dms:Choice">
          <xsd:enumeration value="Appraisal"/>
          <xsd:enumeration value="Board Approval"/>
          <xsd:enumeration value="Board Presentation and Approval"/>
          <xsd:enumeration value="Completion"/>
          <xsd:enumeration value="Effectiveness"/>
          <xsd:enumeration value="Identification"/>
          <xsd:enumeration value="Lending"/>
          <xsd:enumeration value="Negotiations"/>
          <xsd:enumeration value="Negotiations and Final Agreement"/>
          <xsd:enumeration value="Preparation"/>
          <xsd:enumeration value="Restructuring"/>
          <xsd:enumeration value="Signing"/>
          <xsd:enumeration value="Supervision"/>
        </xsd:restriction>
      </xsd:simpleType>
    </xsd:element>
    <xsd:element name="wb_publicalternativeapprover" ma:index="57" nillable="true" ma:displayName="Public Alternative Approver" ma:hidden="true" ma:internalName="wb_publicalternativeapprov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b_publicapprover" ma:index="58" nillable="true" ma:displayName="Public Approver" ma:hidden="true" ma:internalName="wb_publicapprov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b_realcreationdate" ma:index="59" nillable="true" ma:displayName="Real Creation Date" ma:hidden="true" ma:internalName="wb_realcreationdate" ma:readOnly="false">
      <xsd:simpleType>
        <xsd:restriction base="dms:DateTime"/>
      </xsd:simpleType>
    </xsd:element>
    <xsd:element name="wb_realcreatorname" ma:index="60" nillable="true" ma:displayName="Real Creator Name" ma:hidden="true" ma:internalName="wb_realcreatorname" ma:readOnly="false">
      <xsd:simpleType>
        <xsd:restriction base="dms:Text"/>
      </xsd:simpleType>
    </xsd:element>
    <xsd:element name="wb_realmodifier" ma:index="61" nillable="true" ma:displayName="Real Modifier" ma:hidden="true" ma:internalName="wb_realmodifier" ma:readOnly="false">
      <xsd:simpleType>
        <xsd:restriction base="dms:Text"/>
      </xsd:simpleType>
    </xsd:element>
    <xsd:element name="wb_realmodifydate" ma:index="62" nillable="true" ma:displayName="Real Modify Date" ma:hidden="true" ma:internalName="wb_realmodifydate" ma:readOnly="false">
      <xsd:simpleType>
        <xsd:restriction base="dms:DateTime"/>
      </xsd:simpleType>
    </xsd:element>
    <xsd:element name="wb_referencenumber" ma:index="63" nillable="true" ma:displayName="Reference Number" ma:hidden="true" ma:internalName="wb_referencenumber" ma:readOnly="false">
      <xsd:simpleType>
        <xsd:restriction base="dms:Text"/>
      </xsd:simpleType>
    </xsd:element>
    <xsd:element name="wb_refreshdate" ma:index="64" nillable="true" ma:displayName="RefreshDate" ma:hidden="true" ma:internalName="wb_refreshdate" ma:readOnly="false">
      <xsd:simpleType>
        <xsd:restriction base="dms:DateTime"/>
      </xsd:simpleType>
    </xsd:element>
    <xsd:element name="wb_taskid" ma:index="65" nillable="true" ma:displayName="Task ID" ma:hidden="true" ma:internalName="wb_taskid" ma:readOnly="false">
      <xsd:simpleType>
        <xsd:restriction base="dms:Note"/>
      </xsd:simpleType>
    </xsd:element>
    <xsd:element name="OneCMS_Subcategory" ma:index="66" nillable="true" ma:displayName="Subcategory" ma:hidden="true" ma:internalName="OneCMS_Subcategory" ma:readOnly="false">
      <xsd:simpleType>
        <xsd:restriction base="dms:Text"/>
      </xsd:simpleType>
    </xsd:element>
    <xsd:element name="OneCMS_Category" ma:index="67" nillable="true" ma:displayName="Category" ma:hidden="true" ma:internalName="OneCMS_Category" ma:readOnly="false">
      <xsd:simpleType>
        <xsd:restriction base="dms:Text"/>
      </xsd:simpleType>
    </xsd:element>
    <xsd:element name="Abstract" ma:index="68" nillable="true" ma:displayName="Abstract" ma:hidden="true" ma:internalName="Abstract" ma:readOnly="false">
      <xsd:simpleType>
        <xsd:restriction base="dms:Note"/>
      </xsd:simpleType>
    </xsd:element>
    <xsd:element name="wb_applicationno" ma:index="69" nillable="true" ma:displayName="Application No" ma:hidden="true" ma:internalName="wb_applicationno" ma:readOnly="false">
      <xsd:simpleType>
        <xsd:restriction base="dms:Text"/>
      </xsd:simpleType>
    </xsd:element>
    <xsd:element name="g5db487b699641c994752f446908f645" ma:index="70" nillable="true" ma:taxonomy="true" ma:internalName="g5db487b699641c994752f446908f645" ma:taxonomyFieldName="wb_country" ma:displayName="Country" ma:readOnly="false" ma:default="" ma:fieldId="{05db487b-6996-41c9-9475-2f446908f645}" ma:taxonomyMulti="true" ma:sspId="2a6c10d7-b926-4fc0-945e-3cbf5049f6bd" ma:termSetId="5b557a74-2ed1-4f9b-90d0-a207a2948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b_creditnumber" ma:index="72" nillable="true" ma:displayName="Credit Number" ma:hidden="true" ma:internalName="wb_creditnumber" ma:readOnly="false">
      <xsd:simpleType>
        <xsd:restriction base="dms:Text"/>
      </xsd:simpleType>
    </xsd:element>
    <xsd:element name="wb_cttype" ma:index="73" nillable="true" ma:displayName="CTType" ma:hidden="true" ma:internalName="wb_cttype" ma:readOnly="false">
      <xsd:simpleType>
        <xsd:restriction base="dms:Text"/>
      </xsd:simpleType>
    </xsd:element>
    <xsd:element name="wb_documententitytype" ma:index="74" nillable="true" ma:displayName="Document Entity Type" ma:hidden="true" ma:internalName="wb_documententitytype" ma:readOnly="false">
      <xsd:simpleType>
        <xsd:restriction base="dms:Text"/>
      </xsd:simpleType>
    </xsd:element>
    <xsd:element name="wb_documentloancreditfundnbr" ma:index="75" nillable="true" ma:displayName="Document Loan/Credit/Fund Nbr" ma:hidden="true" ma:internalName="wb_documentloancreditfundnbr" ma:readOnly="false">
      <xsd:simpleType>
        <xsd:restriction base="dms:Text"/>
      </xsd:simpleType>
    </xsd:element>
    <xsd:element name="wb_financierid" ma:index="76" nillable="true" ma:displayName="Financier ID" ma:hidden="true" ma:internalName="wb_financierid" ma:readOnly="false">
      <xsd:simpleType>
        <xsd:restriction base="dms:Text"/>
      </xsd:simpleType>
    </xsd:element>
    <xsd:element name="wb_generalcounseldoctype" ma:index="77" nillable="true" ma:displayName="General Counsel Doc Type" ma:hidden="true" ma:internalName="wb_generalcounseldoctype" ma:readOnly="false">
      <xsd:simpleType>
        <xsd:restriction base="dms:Text"/>
      </xsd:simpleType>
    </xsd:element>
    <xsd:element name="wb_internalordername" ma:index="78" nillable="true" ma:displayName="Internal Order Name" ma:hidden="true" ma:internalName="wb_internalordername" ma:readOnly="false">
      <xsd:simpleType>
        <xsd:restriction base="dms:Text"/>
      </xsd:simpleType>
    </xsd:element>
    <xsd:element name="wb_ioparentid" ma:index="79" nillable="true" ma:displayName="IO Parent ID" ma:hidden="true" ma:internalName="wb_ioparentid" ma:readOnly="false">
      <xsd:simpleType>
        <xsd:restriction base="dms:Text"/>
      </xsd:simpleType>
    </xsd:element>
    <xsd:element name="wb_itemid" ma:index="80" nillable="true" ma:displayName="ItemId" ma:hidden="true" ma:internalName="wb_itemid" ma:readOnly="false">
      <xsd:simpleType>
        <xsd:restriction base="dms:Note"/>
      </xsd:simpleType>
    </xsd:element>
    <xsd:element name="ed89010fab75481eba28f36694d32f6e" ma:index="81" nillable="true" ma:taxonomy="true" ma:internalName="ed89010fab75481eba28f36694d32f6e" ma:taxonomyFieldName="wb_language" ma:displayName="Language" ma:readOnly="false" ma:default="" ma:fieldId="{ed89010f-ab75-481e-ba28-f36694d32f6e}" ma:taxonomyMulti="true" ma:sspId="2a6c10d7-b926-4fc0-945e-3cbf5049f6bd" ma:termSetId="eec26d95-2741-4993-be53-ce892dff855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b_legodnotes" ma:index="83" nillable="true" ma:displayName="Leg OD Notes" ma:hidden="true" ma:internalName="wb_legodnotes" ma:readOnly="false">
      <xsd:simpleType>
        <xsd:restriction base="dms:Note"/>
      </xsd:simpleType>
    </xsd:element>
    <xsd:element name="wb_psrno" ma:index="84" nillable="true" ma:displayName="PSRNo" ma:hidden="true" ma:internalName="wb_psrno" ma:readOnly="false">
      <xsd:simpleType>
        <xsd:restriction base="dms:Text"/>
      </xsd:simpleType>
    </xsd:element>
    <xsd:element name="wb_reportno" ma:index="85" nillable="true" ma:displayName="Report No" ma:hidden="true" ma:internalName="wb_reportno" ma:readOnly="false">
      <xsd:simpleType>
        <xsd:restriction base="dms:Text"/>
      </xsd:simpleType>
    </xsd:element>
    <xsd:element name="wb_topic" ma:index="86" nillable="true" ma:displayName="Topic" ma:hidden="true" ma:internalName="wb_topic" ma:readOnly="false">
      <xsd:simpleType>
        <xsd:restriction base="dms:Note"/>
      </xsd:simpleType>
    </xsd:element>
    <xsd:element name="wb_unregistrationnumber" ma:index="87" nillable="true" ma:displayName="UN Registration Number" ma:hidden="true" ma:internalName="wb_unregistrationnumber" ma:readOnly="false">
      <xsd:simpleType>
        <xsd:restriction base="dms:Text"/>
      </xsd:simpleType>
    </xsd:element>
    <xsd:element name="wb_filename" ma:index="88" nillable="true" ma:displayName="Org File Name" ma:internalName="wb_filename">
      <xsd:simpleType>
        <xsd:restriction base="dms:Text"/>
      </xsd:simpleType>
    </xsd:element>
    <xsd:element name="wb_subfolder" ma:index="89" nillable="true" ma:displayName="Sub Folder" ma:hidden="true" ma:internalName="wb_subfold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1D7258-52B4-4C31-B253-F8516768824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467FACC-DA87-41C0-B1BD-4B0B321D982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5650DE6-BA08-4A51-B5FC-58A2523AF9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217B43-B573-4260-8811-1DD0ACBA30AA}">
  <ds:schemaRefs>
    <ds:schemaRef ds:uri="http://schemas.microsoft.com/office/2006/documentManagement/types"/>
    <ds:schemaRef ds:uri="3e02667f-0271-471b-bd6e-11a2e16def1d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AD98D089-016A-4189-ACF3-405164560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2667f-0271-471b-bd6e-11a2e16de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Sources &amp; Application</vt:lpstr>
      <vt:lpstr>Variance</vt:lpstr>
      <vt:lpstr>DA Activity - IDA</vt:lpstr>
      <vt:lpstr>BR A-128 Grant</vt:lpstr>
      <vt:lpstr>BR A-129 Credit</vt:lpstr>
      <vt:lpstr>Cash Forecast</vt:lpstr>
      <vt:lpstr>'DA Activity - IDA'!Print_Area</vt:lpstr>
      <vt:lpstr>'Sources &amp; Application'!Print_Area</vt:lpstr>
      <vt:lpstr>Variance!Print_Area</vt:lpstr>
      <vt:lpstr>'Sources &amp; Application'!Print_Titles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Revised HCIP HEALTH IUFR June 2022.xlsx</dc:title>
  <dc:creator>Noureen LNU</dc:creator>
  <cp:lastModifiedBy>Admin and Finance</cp:lastModifiedBy>
  <cp:lastPrinted>2023-02-16T05:32:48Z</cp:lastPrinted>
  <dcterms:created xsi:type="dcterms:W3CDTF">2010-01-21T04:24:08Z</dcterms:created>
  <dcterms:modified xsi:type="dcterms:W3CDTF">2025-02-13T10:42:22Z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0x010100F4C63C3BD852AE468EAEFD0E6C57C64F020401008B5893351E1AE74ABC723C93C3F73469</vt:lpwstr>
  </property>
  <property fmtid="{D5CDD505-2E9C-101B-9397-08002B2CF9AE}" pid="3" name="_dlc_DocIdItemGuid">
    <vt:lpwstr>4da35a07-a952-4e67-a2f2-5d5137e3004a</vt:lpwstr>
  </property>
  <property fmtid="{D5CDD505-2E9C-101B-9397-08002B2CF9AE}" pid="4" name="wb_language">
    <vt:lpwstr>8;#English|832426d7-d0f8-4cc5-a5f1-7b89f69e8f78</vt:lpwstr>
  </property>
  <property fmtid="{D5CDD505-2E9C-101B-9397-08002B2CF9AE}" pid="5" name="WBDocs_Local_Document_Type">
    <vt:lpwstr>52;#IFR|fd684092-604d-4bca-bbd3-ab1f2ef32739</vt:lpwstr>
  </property>
  <property fmtid="{D5CDD505-2E9C-101B-9397-08002B2CF9AE}" pid="6" name="wb_country">
    <vt:lpwstr/>
  </property>
  <property fmtid="{D5CDD505-2E9C-101B-9397-08002B2CF9AE}" pid="7" name="WBDocs_Originating_Unit">
    <vt:lpwstr/>
  </property>
  <property fmtid="{D5CDD505-2E9C-101B-9397-08002B2CF9AE}" pid="8" name="SharedWithUsers">
    <vt:lpwstr>26;#SRV_OPS_DOCS_PROD;#54;#PDS Managers</vt:lpwstr>
  </property>
</Properties>
</file>